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ate1904="1"/>
  <mc:AlternateContent xmlns:mc="http://schemas.openxmlformats.org/markup-compatibility/2006">
    <mc:Choice Requires="x15">
      <x15ac:absPath xmlns:x15ac="http://schemas.microsoft.com/office/spreadsheetml/2010/11/ac" url="\\rzv214c.gfz-potsdam.de\datapub\0_Digis\2025-011_Lambart\10.5880.DIGIS.2025.011-qWJBF\"/>
    </mc:Choice>
  </mc:AlternateContent>
  <xr:revisionPtr revIDLastSave="0" documentId="13_ncr:1_{167A459B-861E-4888-9A45-10D3387BFC40}" xr6:coauthVersionLast="47" xr6:coauthVersionMax="47" xr10:uidLastSave="{00000000-0000-0000-0000-000000000000}"/>
  <bookViews>
    <workbookView xWindow="-108" yWindow="-108" windowWidth="23256" windowHeight="13896" tabRatio="545" xr2:uid="{00000000-000D-0000-FFFF-FFFF00000000}"/>
  </bookViews>
  <sheets>
    <sheet name="1 Data Source" sheetId="7" r:id="rId1"/>
    <sheet name="2 Core" sheetId="11" r:id="rId2"/>
    <sheet name="3 Data" sheetId="4" r:id="rId3"/>
    <sheet name="4 Primary Analytical Metadata" sheetId="13" r:id="rId4"/>
    <sheet name="5 Method-specific Metadata" sheetId="2" r:id="rId5"/>
  </sheets>
  <calcPr calcId="191029"/>
  <customWorkbookViews>
    <customWorkbookView name="125zoom" guid="{2CFD7C4A-4E08-F84A-A0D6-1548564B7C42}" xWindow="4" yWindow="25" windowWidth="2556" windowHeight="352" tabRatio="500" activeSheetId="6"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113" i="13" l="1"/>
  <c r="Z113" i="13" l="1"/>
  <c r="P113" i="13"/>
  <c r="F113" i="11" l="1"/>
  <c r="E113" i="11"/>
  <c r="E112" i="11"/>
  <c r="F217" i="11"/>
  <c r="E217" i="11"/>
  <c r="F218" i="11"/>
  <c r="E218" i="11"/>
  <c r="F222" i="11"/>
  <c r="E222" i="11"/>
  <c r="F223" i="11"/>
  <c r="E223" i="11"/>
  <c r="F219" i="11"/>
  <c r="E219" i="11"/>
  <c r="F221" i="11"/>
  <c r="E221" i="11"/>
  <c r="F220" i="11"/>
  <c r="E220" i="11"/>
  <c r="F224" i="11"/>
  <c r="E224" i="11"/>
  <c r="F225" i="11"/>
  <c r="E225" i="11"/>
  <c r="F226" i="11"/>
  <c r="E226" i="11"/>
  <c r="F227" i="11"/>
  <c r="E227" i="11"/>
  <c r="F228" i="11"/>
  <c r="E228" i="11"/>
  <c r="E229" i="11"/>
  <c r="F229" i="11"/>
  <c r="F458" i="11" l="1"/>
  <c r="E458" i="11"/>
  <c r="F216" i="11" l="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E139" i="11"/>
  <c r="F139" i="11"/>
  <c r="F138" i="11"/>
  <c r="E138" i="11"/>
  <c r="F137" i="11"/>
  <c r="E137" i="11"/>
  <c r="E136" i="11"/>
  <c r="F136" i="11"/>
  <c r="F135" i="11"/>
  <c r="E135" i="11"/>
  <c r="F134" i="11"/>
  <c r="E134" i="11"/>
  <c r="F133" i="11"/>
  <c r="E133" i="11"/>
  <c r="F132" i="11"/>
  <c r="E132" i="11"/>
  <c r="E131" i="11"/>
  <c r="F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5" i="11"/>
  <c r="E115" i="11"/>
  <c r="F114" i="11"/>
  <c r="E114" i="11"/>
  <c r="F112" i="11"/>
  <c r="F111" i="11"/>
  <c r="E111" i="11"/>
  <c r="F110" i="11"/>
  <c r="E110" i="11"/>
  <c r="F109" i="11"/>
  <c r="E109" i="11"/>
  <c r="F108" i="11"/>
  <c r="E108" i="11"/>
  <c r="F107" i="11"/>
  <c r="E107" i="11"/>
  <c r="F106" i="11"/>
  <c r="E106" i="11"/>
  <c r="F105" i="11"/>
  <c r="E105" i="11"/>
  <c r="F100" i="11"/>
  <c r="F101" i="11"/>
  <c r="F102" i="11"/>
  <c r="F103" i="11"/>
  <c r="F104" i="11"/>
  <c r="F99" i="11"/>
  <c r="F98" i="11"/>
  <c r="F96" i="11"/>
  <c r="F95" i="11"/>
  <c r="F94" i="11"/>
  <c r="F93" i="11"/>
  <c r="F97" i="11"/>
  <c r="F86" i="11"/>
  <c r="F81" i="11"/>
  <c r="F82" i="11"/>
  <c r="F83" i="11"/>
  <c r="F84" i="11"/>
  <c r="F85" i="11"/>
  <c r="F87" i="11"/>
  <c r="F88" i="11"/>
  <c r="F89" i="11"/>
  <c r="F90" i="11"/>
  <c r="F91" i="11"/>
  <c r="F92" i="11"/>
  <c r="F80" i="11"/>
  <c r="F75" i="11"/>
  <c r="F74" i="11"/>
  <c r="F69" i="11"/>
  <c r="F70" i="11"/>
  <c r="F71" i="11"/>
  <c r="F72" i="11"/>
  <c r="F73" i="11"/>
  <c r="F76" i="11"/>
  <c r="F77" i="11"/>
  <c r="F78" i="11"/>
  <c r="F79" i="11"/>
  <c r="F68" i="11"/>
  <c r="F66" i="11"/>
  <c r="F65" i="11"/>
  <c r="F64" i="11"/>
  <c r="F57" i="11"/>
  <c r="F58" i="11"/>
  <c r="F59" i="11"/>
  <c r="F60" i="11"/>
  <c r="F61" i="11"/>
  <c r="F62" i="11"/>
  <c r="F63" i="11"/>
  <c r="F67" i="11"/>
  <c r="F56" i="11"/>
  <c r="F50" i="11"/>
  <c r="F51" i="11"/>
  <c r="F52" i="11"/>
  <c r="F53" i="11"/>
  <c r="F54" i="11"/>
  <c r="F55" i="11"/>
  <c r="F49" i="11"/>
  <c r="F45" i="11"/>
  <c r="F46" i="11"/>
  <c r="F47" i="11"/>
  <c r="F48" i="11"/>
  <c r="F44" i="11"/>
  <c r="F41" i="11"/>
  <c r="F42" i="11"/>
  <c r="F43" i="11"/>
  <c r="F40" i="11"/>
  <c r="F39" i="11"/>
  <c r="F38" i="11"/>
  <c r="F37" i="11"/>
  <c r="F36" i="11"/>
  <c r="F35" i="11"/>
  <c r="F34" i="11"/>
  <c r="F33" i="11"/>
  <c r="F32" i="11"/>
  <c r="F31" i="11"/>
  <c r="F30" i="11"/>
  <c r="F29" i="11"/>
  <c r="F28" i="11"/>
  <c r="F27" i="11"/>
  <c r="F26" i="11"/>
  <c r="F25" i="11"/>
  <c r="F24" i="11"/>
  <c r="F23" i="11"/>
  <c r="F22" i="11"/>
  <c r="F21" i="11"/>
  <c r="F20" i="11"/>
  <c r="F19" i="11"/>
  <c r="F17" i="11"/>
  <c r="F18" i="11"/>
  <c r="F16" i="11"/>
  <c r="F15" i="11"/>
  <c r="F14" i="11"/>
  <c r="F10" i="11"/>
  <c r="F13" i="11"/>
  <c r="F11" i="11"/>
  <c r="F12" i="11"/>
  <c r="F9" i="11"/>
  <c r="F8" i="11" l="1"/>
  <c r="E8" i="11"/>
</calcChain>
</file>

<file path=xl/sharedStrings.xml><?xml version="1.0" encoding="utf-8"?>
<sst xmlns="http://schemas.openxmlformats.org/spreadsheetml/2006/main" count="7949" uniqueCount="1520">
  <si>
    <t>Measured Parameter</t>
  </si>
  <si>
    <t>DETECTION LIMIT</t>
  </si>
  <si>
    <t>NORMALIZATION</t>
  </si>
  <si>
    <t>METHOD CODE</t>
  </si>
  <si>
    <t>TOTAL PROCEDURAL BLANK</t>
  </si>
  <si>
    <t>ANALYTICAL PROCEDURE</t>
  </si>
  <si>
    <t>ANALYTICAL ACCURACY &amp; REPRODUCIBILITY</t>
  </si>
  <si>
    <t>TECHNIQUE</t>
  </si>
  <si>
    <t>LABORATORY</t>
  </si>
  <si>
    <t>SAMPLE NAME</t>
  </si>
  <si>
    <t>IDENTIFICATION</t>
  </si>
  <si>
    <t>LOCATION</t>
  </si>
  <si>
    <t>More info (add more columns if you can provide more information)</t>
  </si>
  <si>
    <t>IGSN</t>
  </si>
  <si>
    <t>ANALYZED MATERIAL</t>
  </si>
  <si>
    <t>OTHER</t>
  </si>
  <si>
    <t>Institution</t>
  </si>
  <si>
    <t>Release Date</t>
  </si>
  <si>
    <t>in meters 
with respect to sea level</t>
  </si>
  <si>
    <t>name given by collector</t>
  </si>
  <si>
    <t>decimal degrees, negative to indicate S</t>
  </si>
  <si>
    <t>decimal degrees, negative to indicate W</t>
  </si>
  <si>
    <t>keywords for searches
ex.: East Pacific Rise, Sierra Nevada</t>
  </si>
  <si>
    <t>e.g. &lt;2mm</t>
  </si>
  <si>
    <t>name of analyst</t>
  </si>
  <si>
    <t>MM/DD/YYYY</t>
  </si>
  <si>
    <t>leave blank if 1</t>
  </si>
  <si>
    <t>PARAMETER</t>
  </si>
  <si>
    <t>person who fills out this template</t>
  </si>
  <si>
    <t>institution of the author</t>
  </si>
  <si>
    <t xml:space="preserve">contact email for the creator of the template </t>
  </si>
  <si>
    <t>XRF</t>
  </si>
  <si>
    <t>SiO2</t>
  </si>
  <si>
    <t>e.g. Woods Hole 
Oceanographic Institute</t>
  </si>
  <si>
    <t>LATITUDE</t>
  </si>
  <si>
    <t>LONGITUDE</t>
  </si>
  <si>
    <t>LOCATION KEYWORDS</t>
  </si>
  <si>
    <t>[view list]</t>
  </si>
  <si>
    <t>Analytical Data</t>
  </si>
  <si>
    <t>Primary Analytical Metadata</t>
  </si>
  <si>
    <t>Method-specific Metadata</t>
  </si>
  <si>
    <t>TITLE</t>
  </si>
  <si>
    <t>AUTHOR</t>
  </si>
  <si>
    <t>CONTACT INFO</t>
  </si>
  <si>
    <t>FROM DATA TAB</t>
  </si>
  <si>
    <t>Data Source Information</t>
  </si>
  <si>
    <t>ABSTRACT</t>
  </si>
  <si>
    <t>Title</t>
  </si>
  <si>
    <t>Authors</t>
  </si>
  <si>
    <t>Publication Year</t>
  </si>
  <si>
    <t>Journal</t>
  </si>
  <si>
    <t>Volume</t>
  </si>
  <si>
    <t>Issue</t>
  </si>
  <si>
    <t>Pages</t>
  </si>
  <si>
    <t>DOI</t>
  </si>
  <si>
    <t>species</t>
  </si>
  <si>
    <t>size fraction</t>
  </si>
  <si>
    <t>sample preparation</t>
  </si>
  <si>
    <t>chemical treatment</t>
  </si>
  <si>
    <t>analyst</t>
  </si>
  <si>
    <t>analysis date</t>
  </si>
  <si>
    <t>detection limit</t>
  </si>
  <si>
    <t>unit</t>
  </si>
  <si>
    <t>blank value</t>
  </si>
  <si>
    <t>reference sample name</t>
  </si>
  <si>
    <t>descriptive title of the dataset</t>
  </si>
  <si>
    <t>brief description of dataset, please aim for &lt;250 words</t>
  </si>
  <si>
    <t>name of the author(s) of the dataset (Last, First)</t>
  </si>
  <si>
    <t>date when the data is available to the public (if left blank, available now)</t>
  </si>
  <si>
    <t>information about a publication related to the dataset (e.g. journal article that cites all or part of the dataset)</t>
  </si>
  <si>
    <t>e.g. whole rock, volcanic glass, mineral, fossil</t>
  </si>
  <si>
    <t>Related Publication #1</t>
  </si>
  <si>
    <t>Fill more rows if necessary</t>
  </si>
  <si>
    <t>LITHOLOGY</t>
  </si>
  <si>
    <t>must match a code in the DATA tab row 3</t>
  </si>
  <si>
    <t>must match a parameter in the DATA tab row 2</t>
  </si>
  <si>
    <t>PARAMETER [list]</t>
  </si>
  <si>
    <t>UNIT [list]:</t>
  </si>
  <si>
    <t>citation</t>
  </si>
  <si>
    <t>e.g. USGS</t>
  </si>
  <si>
    <t>reference sample accepted value</t>
  </si>
  <si>
    <t>rock type, e.g. basalt</t>
  </si>
  <si>
    <t>i.e. from the literature</t>
  </si>
  <si>
    <t>e.g. ppm, wt%</t>
  </si>
  <si>
    <t>e.g. ppm</t>
  </si>
  <si>
    <t>e.g. whole rock samples were dissolved in 0.1M HF + 5.0M HNO3</t>
  </si>
  <si>
    <t>e.g. ThermoARL XRF, Agilent 7700 ICP-MS</t>
  </si>
  <si>
    <t>e.g. BCR-1</t>
  </si>
  <si>
    <t>if applicable</t>
  </si>
  <si>
    <t>e.g. crushed in agate mill, sieved at 500 microns</t>
  </si>
  <si>
    <t>Citation</t>
  </si>
  <si>
    <t>Comment</t>
  </si>
  <si>
    <t>CHRONOLOGY</t>
  </si>
  <si>
    <t>GEOSPATIAL PARENT IGSN</t>
  </si>
  <si>
    <t>EXPEDITION DATE</t>
  </si>
  <si>
    <t>EXPEDITION/ CRUISE NAME</t>
  </si>
  <si>
    <t>SITE</t>
  </si>
  <si>
    <t>unique ID assigned by IGSN allocating agent</t>
  </si>
  <si>
    <t>GEOSPATIAL PARENT NAME</t>
  </si>
  <si>
    <t>if average, 
leave blank if 1</t>
  </si>
  <si>
    <t>number of replicates</t>
  </si>
  <si>
    <t>site/hole/core</t>
  </si>
  <si>
    <t>Geospatial Information</t>
  </si>
  <si>
    <t>assign a number that links method to paramater; must match the DATA tab row 3</t>
  </si>
  <si>
    <t>METHODOLOGY</t>
  </si>
  <si>
    <t>reference where first described</t>
  </si>
  <si>
    <t>Age Model</t>
  </si>
  <si>
    <t>must correspond to name from tab "2 Core"</t>
  </si>
  <si>
    <t>from tab "2 Core", if available</t>
  </si>
  <si>
    <t>ELEVATION_START</t>
  </si>
  <si>
    <t>ELEVATION_END</t>
  </si>
  <si>
    <t>BOLD headings indicate MANDATORY fields, replace example with your metadata</t>
  </si>
  <si>
    <r>
      <t>BOLD</t>
    </r>
    <r>
      <rPr>
        <sz val="14"/>
        <color indexed="10"/>
        <rFont val="Arial"/>
        <family val="2"/>
      </rPr>
      <t xml:space="preserve"> headings indicate </t>
    </r>
    <r>
      <rPr>
        <b/>
        <sz val="14"/>
        <color indexed="10"/>
        <rFont val="Arial"/>
        <family val="2"/>
      </rPr>
      <t xml:space="preserve">MANDATORY </t>
    </r>
    <r>
      <rPr>
        <sz val="14"/>
        <color indexed="10"/>
        <rFont val="Arial"/>
        <family val="2"/>
      </rPr>
      <t>fields, replace example with your metadata</t>
    </r>
  </si>
  <si>
    <r>
      <t>BOLD</t>
    </r>
    <r>
      <rPr>
        <sz val="14"/>
        <color indexed="10"/>
        <rFont val="Arial"/>
        <family val="2"/>
      </rPr>
      <t xml:space="preserve"> headings indicate </t>
    </r>
    <r>
      <rPr>
        <b/>
        <sz val="14"/>
        <color indexed="10"/>
        <rFont val="Arial"/>
        <family val="2"/>
      </rPr>
      <t>MANDATORY</t>
    </r>
    <r>
      <rPr>
        <sz val="14"/>
        <color indexed="10"/>
        <rFont val="Arial"/>
        <family val="2"/>
      </rPr>
      <t xml:space="preserve"> fields.</t>
    </r>
  </si>
  <si>
    <t>v3.1 last modified 03/23/2022</t>
  </si>
  <si>
    <t>Template developed by EarthChem: 10.26022/IEDA/112264</t>
  </si>
  <si>
    <t>METHOD CODE [more info]:</t>
  </si>
  <si>
    <t>INSTRUMENT</t>
  </si>
  <si>
    <t xml:space="preserve">reference sample measured value </t>
  </si>
  <si>
    <t>reference sample measured value unit</t>
  </si>
  <si>
    <t>reference uncertainty</t>
  </si>
  <si>
    <t>reference uncertainty unit</t>
  </si>
  <si>
    <t>number of measurements</t>
  </si>
  <si>
    <t>standard deviation</t>
  </si>
  <si>
    <t>Powered by DIGIS</t>
  </si>
  <si>
    <t>U1566</t>
  </si>
  <si>
    <t>IODP 396</t>
  </si>
  <si>
    <t>Vøring margin</t>
  </si>
  <si>
    <t>06/08/2021-06/10/2021</t>
  </si>
  <si>
    <t>basalt</t>
  </si>
  <si>
    <t>whole rock</t>
  </si>
  <si>
    <t>TiO2</t>
  </si>
  <si>
    <t>Al2O3</t>
  </si>
  <si>
    <t>Fe2O3T</t>
  </si>
  <si>
    <t>MnO</t>
  </si>
  <si>
    <t>MgO</t>
  </si>
  <si>
    <t>CaO</t>
  </si>
  <si>
    <t>Na2O</t>
  </si>
  <si>
    <t>K2O</t>
  </si>
  <si>
    <t>P2O5</t>
  </si>
  <si>
    <t>LOI</t>
  </si>
  <si>
    <t>V</t>
  </si>
  <si>
    <t>Cr</t>
  </si>
  <si>
    <t>Ni</t>
  </si>
  <si>
    <t>Cu</t>
  </si>
  <si>
    <t>Zn</t>
  </si>
  <si>
    <t>Ga</t>
  </si>
  <si>
    <t>Rb</t>
  </si>
  <si>
    <t>Sr</t>
  </si>
  <si>
    <t>Y</t>
  </si>
  <si>
    <t>Zr</t>
  </si>
  <si>
    <t>Nb</t>
  </si>
  <si>
    <t>Ba</t>
  </si>
  <si>
    <t>La</t>
  </si>
  <si>
    <t>Ce</t>
  </si>
  <si>
    <t>Nd</t>
  </si>
  <si>
    <t>Pb</t>
  </si>
  <si>
    <t>Th</t>
  </si>
  <si>
    <t>U</t>
  </si>
  <si>
    <t>wt%</t>
  </si>
  <si>
    <t>Rigaku RIX3000</t>
  </si>
  <si>
    <t>Rigaku RIX3001</t>
  </si>
  <si>
    <t>Rigaku RIX3002</t>
  </si>
  <si>
    <t>Rigaku RIX3003</t>
  </si>
  <si>
    <t>Rigaku RIX3004</t>
  </si>
  <si>
    <t>Rigaku RIX3005</t>
  </si>
  <si>
    <t>Rigaku RIX3006</t>
  </si>
  <si>
    <t>Rigaku RIX3007</t>
  </si>
  <si>
    <t>Rigaku RIX3008</t>
  </si>
  <si>
    <t>Rigaku RIX3009</t>
  </si>
  <si>
    <t>Niigata University</t>
  </si>
  <si>
    <t>Institute of Oceanology, Chinese Academy of Sciences (IOCAS)</t>
  </si>
  <si>
    <t>Sayantani Chatterjee</t>
  </si>
  <si>
    <t>Pengyuan Guo</t>
  </si>
  <si>
    <t>IGN</t>
  </si>
  <si>
    <t xml:space="preserve">ThermoARL </t>
  </si>
  <si>
    <t>BHVO-2</t>
  </si>
  <si>
    <t>FeO</t>
  </si>
  <si>
    <t>ODP 104</t>
  </si>
  <si>
    <t>19/06/1985-23/08/1985</t>
  </si>
  <si>
    <t>PW2400</t>
  </si>
  <si>
    <t>University of Aarhus, Denmark</t>
  </si>
  <si>
    <t>Christian Tegner</t>
  </si>
  <si>
    <t xml:space="preserve">Geological Survey of Denmark and Greenland </t>
  </si>
  <si>
    <t>TITR</t>
  </si>
  <si>
    <t>pXRF</t>
  </si>
  <si>
    <t xml:space="preserve">Olympus Delta handheld portable XRF </t>
  </si>
  <si>
    <t>Joides Resolution</t>
  </si>
  <si>
    <t>μg/g</t>
  </si>
  <si>
    <t>Li</t>
  </si>
  <si>
    <t>Sc</t>
  </si>
  <si>
    <t>Co</t>
  </si>
  <si>
    <t>Ge</t>
  </si>
  <si>
    <t>Sn</t>
  </si>
  <si>
    <t>Cs</t>
  </si>
  <si>
    <t>Pr</t>
  </si>
  <si>
    <t>Sm</t>
  </si>
  <si>
    <t>Eu</t>
  </si>
  <si>
    <t>Gd</t>
  </si>
  <si>
    <t>Tb</t>
  </si>
  <si>
    <t>Dy</t>
  </si>
  <si>
    <t>Ho</t>
  </si>
  <si>
    <t>Er</t>
  </si>
  <si>
    <t>Tm</t>
  </si>
  <si>
    <t>Yb</t>
  </si>
  <si>
    <t>Lu</t>
  </si>
  <si>
    <t>Hf</t>
  </si>
  <si>
    <t>Ta</t>
  </si>
  <si>
    <t>W</t>
  </si>
  <si>
    <t>ICP:MS</t>
  </si>
  <si>
    <t>Yokogawa HP4500</t>
  </si>
  <si>
    <t xml:space="preserve"> </t>
  </si>
  <si>
    <t>Be</t>
  </si>
  <si>
    <t xml:space="preserve"> V</t>
  </si>
  <si>
    <t xml:space="preserve"> Y</t>
  </si>
  <si>
    <t xml:space="preserve"> U</t>
  </si>
  <si>
    <t>Agilent-7900</t>
  </si>
  <si>
    <t>BHVO-1</t>
  </si>
  <si>
    <t>Fe2O3</t>
  </si>
  <si>
    <t xml:space="preserve">PerkinElmer Eland 6100 DRC </t>
  </si>
  <si>
    <t>W2</t>
  </si>
  <si>
    <t>pXRF calbration curve</t>
  </si>
  <si>
    <t>slope</t>
  </si>
  <si>
    <t>intercept</t>
  </si>
  <si>
    <t>List of standards used to build the calibration curves</t>
  </si>
  <si>
    <t>JP1,BE-N, BIR-1, BHVO-2, BCR-2,JB-2, DTS-1, MRG-1, AVF-1, JG-1a, JA-2, JR-1, LKSD-4, NODA-1</t>
  </si>
  <si>
    <t>JP1,BE-N, BIR-1, BHVO-2, BCR-2,JB-2, DTS-1, MRG-1, AVF-1, JG-1a, JA-2, JR-1, LKSD-4</t>
  </si>
  <si>
    <t>BE-N, BIR-1, BHVO-2, BCR-2,JB-2, MRG-1, AVF-1, JG-1a, JA-2, JR-1, LKSD-4</t>
  </si>
  <si>
    <t>U1566A-5R-1</t>
  </si>
  <si>
    <t>U1566A-7R-2</t>
  </si>
  <si>
    <t>U1566A-9R-4</t>
  </si>
  <si>
    <t>U1566A-12R-2</t>
  </si>
  <si>
    <t>396-U1566A-5R-1, 96-96 cm</t>
  </si>
  <si>
    <t>396-U1566A-7R-2, 68-71 cm</t>
  </si>
  <si>
    <t>396-U1566A-9R-4, 9-12 cm</t>
  </si>
  <si>
    <t>396-U1566A-12R-2, 99-102 cm</t>
  </si>
  <si>
    <t>U1566A-14R-2</t>
  </si>
  <si>
    <t>396-U1566A-14R-2, 39-42 cm</t>
  </si>
  <si>
    <t>U1566A-17R-1</t>
  </si>
  <si>
    <t>396-U1566A-17R-1, 34-37 cm</t>
  </si>
  <si>
    <t>U1566A-18R-3</t>
  </si>
  <si>
    <t>396-U1566A-18R-3, 108-110 cm</t>
  </si>
  <si>
    <t>U1566A-19R-2</t>
  </si>
  <si>
    <t>396-U1566A-19R-2, 140-142 cm</t>
  </si>
  <si>
    <t>U1566A-21R-2</t>
  </si>
  <si>
    <t>396-U1566A-21R-2, 118-120 cm</t>
  </si>
  <si>
    <t>U1566A-25R-1</t>
  </si>
  <si>
    <t>U1566A-27R-4</t>
  </si>
  <si>
    <t>396-U1566A-27R-4, 3-6 cm</t>
  </si>
  <si>
    <t>396-U1566A-5R-1, 93-96 cm</t>
  </si>
  <si>
    <t>U1571A-18R-3</t>
  </si>
  <si>
    <t>396-U1571A-18R-3, 8-11 cm</t>
  </si>
  <si>
    <t>396-U1571A-23R-1, 20-24 cm</t>
  </si>
  <si>
    <t>396-U1571A-24R-2, 87-90 cm</t>
  </si>
  <si>
    <t>396-U1571A-26R-2, 32-35 cm</t>
  </si>
  <si>
    <t>396-U1571A-28R-3, 54.5-58 cm</t>
  </si>
  <si>
    <t>396-U1571A-31R-1, 58.5-61.5 cm</t>
  </si>
  <si>
    <t>396-U1571A-32R-3, 32.5-36.5 cm</t>
  </si>
  <si>
    <t>396-U1571A-33R-3, 54-57 cm</t>
  </si>
  <si>
    <t>396-U1571A-35R-1, 98-101 cm</t>
  </si>
  <si>
    <t>396-U1571A-37R-1, 76-79 cm</t>
  </si>
  <si>
    <t>396-U1571A-38R-2, 91-94 cm</t>
  </si>
  <si>
    <t>396-U1571A-39R-2, 28-31 cm</t>
  </si>
  <si>
    <t>396-U1566A-25R-1, 68.5-71 cm</t>
  </si>
  <si>
    <t>U1571A-23R-1</t>
  </si>
  <si>
    <t>U1571A-24R-2</t>
  </si>
  <si>
    <t>U1571A-26R-2</t>
  </si>
  <si>
    <t>U1571A-28R-3</t>
  </si>
  <si>
    <t>U1571A-31R-1</t>
  </si>
  <si>
    <t>U1571A-32R-3</t>
  </si>
  <si>
    <t>U1571A-33R-3</t>
  </si>
  <si>
    <t>U1571A-35R-1</t>
  </si>
  <si>
    <t>U1571A-37R-1</t>
  </si>
  <si>
    <t>U1571A-38R-2</t>
  </si>
  <si>
    <t>U1571A-39R-2</t>
  </si>
  <si>
    <t>396-U1572A-23R-1, 83-86 cm</t>
  </si>
  <si>
    <t>396-U1572A-24R-4, 44-47 cm</t>
  </si>
  <si>
    <t>396-U1572A-26R-3, 72-75.5 cm</t>
  </si>
  <si>
    <t>396-U1572A-29R-2, 71-74 cm</t>
  </si>
  <si>
    <t>396-U1572A-33R-2, 71.5-75 cm</t>
  </si>
  <si>
    <t>396-U1572A-34R-3, 82.5-85.5 cm</t>
  </si>
  <si>
    <t>396-U1572A-36R-1, 96-99 cm</t>
  </si>
  <si>
    <t>396-U1572A-38R-4, 60-63 cm</t>
  </si>
  <si>
    <t>396-U1572A-40R-3, 26.5-29.5 cm</t>
  </si>
  <si>
    <t>396-U1572A-43R-3, 41-44 cm</t>
  </si>
  <si>
    <t>396-U1572A-45R-2, 63-66 cm</t>
  </si>
  <si>
    <t>396-U1572B-30X-1, 47-50 cm</t>
  </si>
  <si>
    <t>396-U1572B-32X-1, 12-15 cm</t>
  </si>
  <si>
    <t>U1572A-23R-1</t>
  </si>
  <si>
    <t>U1572A-24R-4</t>
  </si>
  <si>
    <t>U1572A-26R-3</t>
  </si>
  <si>
    <t>U1572A-29R-2</t>
  </si>
  <si>
    <t>U1572A-33R-2</t>
  </si>
  <si>
    <t>U1572A-34R-3</t>
  </si>
  <si>
    <t>U1572A-36R-1</t>
  </si>
  <si>
    <t>U1572A-38R-4</t>
  </si>
  <si>
    <t>U1572A-40R-3</t>
  </si>
  <si>
    <t>U1572A-43R-3</t>
  </si>
  <si>
    <t>U1572A-45R-2</t>
  </si>
  <si>
    <t>U1572B-30X-1</t>
  </si>
  <si>
    <t>U1572B-32X-1</t>
  </si>
  <si>
    <t>U1573A-11R-1</t>
  </si>
  <si>
    <t>U1573A-12R-3</t>
  </si>
  <si>
    <t>U1573A-14R-1</t>
  </si>
  <si>
    <t>U1573A-15R-2</t>
  </si>
  <si>
    <t>U1573A-17R-2</t>
  </si>
  <si>
    <t>396-U1573A-11R-1, 133-136</t>
  </si>
  <si>
    <t>396-U1573A-12R-3, 4-7 cm</t>
  </si>
  <si>
    <t>396-U1573A-14R-1, 37.5-40.5 cm</t>
  </si>
  <si>
    <t>396-U1573A-15R-2, 88-91 cm</t>
  </si>
  <si>
    <t>396-U1573A-17R-2, 19-22 cm</t>
  </si>
  <si>
    <t>U1574A-19R-1</t>
  </si>
  <si>
    <t>U1574A-21R-1</t>
  </si>
  <si>
    <t>U1574A-23R-2</t>
  </si>
  <si>
    <t>U1574A-24R-4</t>
  </si>
  <si>
    <t>1574-A-29-R-1</t>
  </si>
  <si>
    <t>U1574A-35R-1</t>
  </si>
  <si>
    <t>U1574A-38R-2</t>
  </si>
  <si>
    <t>396-U1574A-19R-1, 87-90 cm</t>
  </si>
  <si>
    <t>396-U1574A-21R-1, 71-74 cm</t>
  </si>
  <si>
    <t>396-U1574A-23R-2, 129-132 cm</t>
  </si>
  <si>
    <t>396-U1574A-24R-4, 82-85 cm</t>
  </si>
  <si>
    <t>396-1574-A-29-R-1, 35-38 cm</t>
  </si>
  <si>
    <t>396-U1574A-35R-1, 82-85 cm</t>
  </si>
  <si>
    <t>396-U1574A-38R-2, 79.5-82.5 cm</t>
  </si>
  <si>
    <t>U1571</t>
  </si>
  <si>
    <t>U1572</t>
  </si>
  <si>
    <t>U1573</t>
  </si>
  <si>
    <t>U1574</t>
  </si>
  <si>
    <t>U1566A-4R-1</t>
  </si>
  <si>
    <t>1566-A-6-R-2</t>
  </si>
  <si>
    <t>U1566A-8R-2</t>
  </si>
  <si>
    <t>U1566A-11R-2</t>
  </si>
  <si>
    <t>U1566A-13R-2</t>
  </si>
  <si>
    <t>U1566A-15R-2</t>
  </si>
  <si>
    <t>U1566A-18R-1</t>
  </si>
  <si>
    <t>U1566A-19R-1</t>
  </si>
  <si>
    <t>U1566A-20R-1</t>
  </si>
  <si>
    <t>U1566A-22R-2</t>
  </si>
  <si>
    <t>U1566A-26R-2</t>
  </si>
  <si>
    <t>U1566A-28R-3</t>
  </si>
  <si>
    <t>396-U1566A-4R-1, 69-72 cm</t>
  </si>
  <si>
    <t>396-U1566A-6R-2, 43-46 cm</t>
  </si>
  <si>
    <t>396-U1566A-8R-2, 111-114 cm</t>
  </si>
  <si>
    <t>396-U1566A-11R-2, 36-39 cm</t>
  </si>
  <si>
    <t>396-U1566A-13R-2, 90-93 cm</t>
  </si>
  <si>
    <t>396-U1566A-15R-2, 62-65 cm</t>
  </si>
  <si>
    <t>396-U1566A-18R-1,72-74 cm</t>
  </si>
  <si>
    <t>396-U1566A-19R-1, 105-107 cm</t>
  </si>
  <si>
    <t>396-U1566A-20R-1, 115-117 cm</t>
  </si>
  <si>
    <t>396-U1566A-22R-2, 42.5-44.5 cm</t>
  </si>
  <si>
    <t>396-U1566A-26R-2, 62-65 cm</t>
  </si>
  <si>
    <t>396-U1566A-28R-3, 33-36 cm</t>
  </si>
  <si>
    <t>U1571A-16R-1</t>
  </si>
  <si>
    <t>U1571A-22R-2</t>
  </si>
  <si>
    <t>U1571A-23R-4</t>
  </si>
  <si>
    <t>U1571A-25R-1</t>
  </si>
  <si>
    <t>U1571A-26R-4</t>
  </si>
  <si>
    <t>U1571A-30R-1</t>
  </si>
  <si>
    <t>U1571A-32R-2</t>
  </si>
  <si>
    <t>U1571A-34R-1</t>
  </si>
  <si>
    <t>U1571A-36R-3</t>
  </si>
  <si>
    <t>U1571A-37R-3</t>
  </si>
  <si>
    <t>U1571A-39R-1</t>
  </si>
  <si>
    <t>396-U1571A-16R-1, 43-46 cm</t>
  </si>
  <si>
    <t>396-U1571A-22R-2, 83-86 cm</t>
  </si>
  <si>
    <t>396-U1571A-23R-4, 53-56 cm</t>
  </si>
  <si>
    <t>396-U1571A-25R-1, 87-90 cm</t>
  </si>
  <si>
    <t>396-U1571A-26R-4, 47.5-50.5 cm</t>
  </si>
  <si>
    <t>396-U1571A-30R-1, 70-73 cm</t>
  </si>
  <si>
    <t>396-U1571A-32R-2, 32.5-36.5 cm</t>
  </si>
  <si>
    <t>396-U1571A-34R-1, 53.5-56.5 cm</t>
  </si>
  <si>
    <t>396-U1571A-36R-3, 43-46 cm</t>
  </si>
  <si>
    <t>396-U1571A-37R-3, 22-25 cm</t>
  </si>
  <si>
    <t>396-U1571A-39R-1, 64-67 cm</t>
  </si>
  <si>
    <t>396-U1571A-33R-2, 96-100 cm</t>
  </si>
  <si>
    <t>U1571A-33R-2</t>
  </si>
  <si>
    <t>U1572A-24R-1</t>
  </si>
  <si>
    <t>U1572A-25R-2</t>
  </si>
  <si>
    <t>U1572A-27R-2</t>
  </si>
  <si>
    <t>U1572A-31R-3</t>
  </si>
  <si>
    <t>U1572A-33R-4</t>
  </si>
  <si>
    <t>U1572A-35R-3</t>
  </si>
  <si>
    <t>U1572A-38R-1</t>
  </si>
  <si>
    <t>U1572A-39R-2</t>
  </si>
  <si>
    <t>U1572A-42R-2</t>
  </si>
  <si>
    <t>U1572A-44R-2</t>
  </si>
  <si>
    <t>U1572A-46R-2</t>
  </si>
  <si>
    <t>U1572B-30X-2</t>
  </si>
  <si>
    <t>U1573A-10R-4</t>
  </si>
  <si>
    <t>U1573A-12R-1</t>
  </si>
  <si>
    <t>U1573A-13R-4</t>
  </si>
  <si>
    <t>U1573A-15R-1</t>
  </si>
  <si>
    <t>U1573A-16R-1</t>
  </si>
  <si>
    <t>U1573A-18R-2</t>
  </si>
  <si>
    <t>396-U1572A-46R-2, 57-60 cm</t>
  </si>
  <si>
    <t>396-U1572B-30X-2, 40-43 cm</t>
  </si>
  <si>
    <t>396-U1573A-10R-4, 95-98 cm</t>
  </si>
  <si>
    <t>396-U1573A-12R-1, 119-122 cm</t>
  </si>
  <si>
    <t>396-U1573A-13R-4, 51.5-54.5 cm</t>
  </si>
  <si>
    <t>396-U1573A-15R-1, 9.5-12.5 cm</t>
  </si>
  <si>
    <t>396-U1573A-16R-1, 16-19 cm</t>
  </si>
  <si>
    <t>396-U1573A-18R-2, 32-34 cm</t>
  </si>
  <si>
    <t>396-U1572A-23R-1,41-44 cm</t>
  </si>
  <si>
    <t>396-U1572A-24R-1, 31-34 cm</t>
  </si>
  <si>
    <t>396-U1572A-25R-2, 45-48 cm</t>
  </si>
  <si>
    <t>396-U1572A-27R-2, 12-15 cm</t>
  </si>
  <si>
    <t>396-U1572A-31R-3, 62-65 cm</t>
  </si>
  <si>
    <t>396-U1572A-33R-4, 4.5-8 cm</t>
  </si>
  <si>
    <t>396-U1572A-35R-3, 90-93 cm</t>
  </si>
  <si>
    <t>396-U1572A-38R-1, 67-70 cm</t>
  </si>
  <si>
    <t>396-U1572A-39R-2, 33.5-36.5 cm</t>
  </si>
  <si>
    <t>396-U1572A-42R-2, 68.5-71.5 cm</t>
  </si>
  <si>
    <t>396-U1572A-44R-2, 36.5-39.5 cm</t>
  </si>
  <si>
    <t>U1574A-20R-2</t>
  </si>
  <si>
    <t>U1574A-22R-2</t>
  </si>
  <si>
    <t>U1574A-24R-3</t>
  </si>
  <si>
    <t>U1574A-28R-1</t>
  </si>
  <si>
    <t>U1574A-34R-CC</t>
  </si>
  <si>
    <t>U1574A-37R-2</t>
  </si>
  <si>
    <t>396-U1574A-20R-2, 119-122 cm</t>
  </si>
  <si>
    <t>396-U1574A-22R-2, 110-113 cm</t>
  </si>
  <si>
    <t>396-U1574A-24R-3, 110-113 cm</t>
  </si>
  <si>
    <t>396-U1574A-28R-1, 78-81 cm</t>
  </si>
  <si>
    <t>396-U1574A-34R-CC, 2.5-5.5 cm</t>
  </si>
  <si>
    <t>396-U1574A-37R-2, 52-55 cm</t>
  </si>
  <si>
    <t>396-U1565A-4R-1, 11-16 cm</t>
  </si>
  <si>
    <t>396-U1565A-4R-2, 87-95 cm</t>
  </si>
  <si>
    <t>396-U1566A-30R-1, 64-70 cm</t>
  </si>
  <si>
    <t>396-U1566A-31R-1, 18-22 cm</t>
  </si>
  <si>
    <t>396-U1566A-32R-1, 57-61 cm</t>
  </si>
  <si>
    <t>396-U1566A-32R-1, 51-54 cm</t>
  </si>
  <si>
    <t>396-U1566A-32R-3, 72-78 cm</t>
  </si>
  <si>
    <t>396-U1566A-32R-3, 79-83 cm</t>
  </si>
  <si>
    <t>granite</t>
  </si>
  <si>
    <t>U1565A-4R-1</t>
  </si>
  <si>
    <t>U1565A-4R-2</t>
  </si>
  <si>
    <t>U1566A-30R-1</t>
  </si>
  <si>
    <t>U1566A-31R-1</t>
  </si>
  <si>
    <t>U1565</t>
  </si>
  <si>
    <r>
      <t xml:space="preserve">BOLD </t>
    </r>
    <r>
      <rPr>
        <sz val="14"/>
        <color indexed="10"/>
        <rFont val="Verdana"/>
        <family val="2"/>
      </rPr>
      <t>headings indicate</t>
    </r>
    <r>
      <rPr>
        <b/>
        <sz val="14"/>
        <color indexed="10"/>
        <rFont val="Verdana"/>
        <family val="2"/>
      </rPr>
      <t xml:space="preserve"> MANDATORY</t>
    </r>
    <r>
      <rPr>
        <sz val="14"/>
        <color indexed="10"/>
        <rFont val="Verdana"/>
        <family val="2"/>
      </rPr>
      <t xml:space="preserve"> fields. Click on list/ assign for more information</t>
    </r>
  </si>
  <si>
    <r>
      <t xml:space="preserve">if mineral or fossil
e.g. plagioclase, </t>
    </r>
    <r>
      <rPr>
        <i/>
        <sz val="9"/>
        <color indexed="62"/>
        <rFont val="Verdana"/>
        <family val="2"/>
      </rPr>
      <t>Cibicidoides wuellerstorfi</t>
    </r>
  </si>
  <si>
    <t>104-642E-15R-5, 45-48 cm</t>
  </si>
  <si>
    <t>104-642E-21R-2, 96-102 cm</t>
  </si>
  <si>
    <t>642E-15R-5, 45-48 cm</t>
  </si>
  <si>
    <t>642E-21R-2, 96-102 cm</t>
  </si>
  <si>
    <t>642E-24R-3, 101-108</t>
  </si>
  <si>
    <t>642E-27R-5, 30-35</t>
  </si>
  <si>
    <t>642E-28R-4, 20-27</t>
  </si>
  <si>
    <t>642E-28R-5, 18-24</t>
  </si>
  <si>
    <t>642E-29R-2, 40-44</t>
  </si>
  <si>
    <t>642E-30R-6, 89-94</t>
  </si>
  <si>
    <t>642E-35R-2, 78-86</t>
  </si>
  <si>
    <t>642E-35R-3; 49-56</t>
  </si>
  <si>
    <t>642E-35R-4; 121-126</t>
  </si>
  <si>
    <t>642E-35R-4, 72-77</t>
  </si>
  <si>
    <t>642E-36R-2, 23-28</t>
  </si>
  <si>
    <t>642E-37R-1, 25-33</t>
  </si>
  <si>
    <t>642E-37R-1, 33-40</t>
  </si>
  <si>
    <t>642E-38R-4, 53-60</t>
  </si>
  <si>
    <t>642E-41R-3, 74-80</t>
  </si>
  <si>
    <t>642E-37R-2, 37-43</t>
  </si>
  <si>
    <t>642E-41R-3, 142-147</t>
  </si>
  <si>
    <t>642E-42R-2, 25-30</t>
  </si>
  <si>
    <t>642E-46R-3, 140-145</t>
  </si>
  <si>
    <t>642E-47R-1, 113-119</t>
  </si>
  <si>
    <t>642E-50R-2, 19-22</t>
  </si>
  <si>
    <t>642E-51R-1, 27-33</t>
  </si>
  <si>
    <t>642E-52R-4, 3-7</t>
  </si>
  <si>
    <t>642E-52R-5, 30-34</t>
  </si>
  <si>
    <t>642E-54R-3, 70-75</t>
  </si>
  <si>
    <t>642E-56R-1, 1-4</t>
  </si>
  <si>
    <t>642E-58R-1, 130-135</t>
  </si>
  <si>
    <t>642E-60R-1, 16-23</t>
  </si>
  <si>
    <t>642E-60R-2, 115-121</t>
  </si>
  <si>
    <t>642E-61R-2, 40-48</t>
  </si>
  <si>
    <t>642E-62R-1, 61-66</t>
  </si>
  <si>
    <t>642E-64R-1, 65-71</t>
  </si>
  <si>
    <t>642E-64R-4, 124-129</t>
  </si>
  <si>
    <t>642E-64R-5, 80-84</t>
  </si>
  <si>
    <t>642E-64R-5, 84-86</t>
  </si>
  <si>
    <t>642E-66R-3, 70-76</t>
  </si>
  <si>
    <t>642E-67R-1, 24-29</t>
  </si>
  <si>
    <t>642E-68R-1, 55-65</t>
  </si>
  <si>
    <t>642E-68R-1, 137-144</t>
  </si>
  <si>
    <t>642E-68R-2, 124-129</t>
  </si>
  <si>
    <t>642E-69R-1, 92-98</t>
  </si>
  <si>
    <t>642E-69R-3, 125-129</t>
  </si>
  <si>
    <t>642E-71R-2, 28-33</t>
  </si>
  <si>
    <t>642E-71R-3, 48-53</t>
  </si>
  <si>
    <t>642E-72R-2, 40-43</t>
  </si>
  <si>
    <t>642E-74R-2, 50-54</t>
  </si>
  <si>
    <t>642E-75R-1, 23-30</t>
  </si>
  <si>
    <t>642E-75R-1, 53-56</t>
  </si>
  <si>
    <t>642E-76R-2, 0-7</t>
  </si>
  <si>
    <t>642E-77R-1, 66-76</t>
  </si>
  <si>
    <t>642E-78R-1, 53-58</t>
  </si>
  <si>
    <t>642E-79R-1, 110-117</t>
  </si>
  <si>
    <t>642E-79R-2, 109-113</t>
  </si>
  <si>
    <t>642E-81R-1, 90-95</t>
  </si>
  <si>
    <t>642E-83R-2, 85-90</t>
  </si>
  <si>
    <t>642E-85R-1, 71-77</t>
  </si>
  <si>
    <t>642E-86R-1, 44-49</t>
  </si>
  <si>
    <t>642E-86R-2, 131-136</t>
  </si>
  <si>
    <t>642E-86R-2, 88-95</t>
  </si>
  <si>
    <t>642E-87R-1-71-73</t>
  </si>
  <si>
    <t>642E-87R-2, 52-58</t>
  </si>
  <si>
    <t>642E-90R-2, 68-72</t>
  </si>
  <si>
    <t>642E-91R-1, 46-50</t>
  </si>
  <si>
    <t>642E-93R-2, 48-52</t>
  </si>
  <si>
    <t>104-642E-24R-3, 101-108 cm</t>
  </si>
  <si>
    <t>104-642E-27R-5, 30-35 cm</t>
  </si>
  <si>
    <t>104-642E-28R-4, 20-27 cm</t>
  </si>
  <si>
    <t>104-642E-28R-5, 18-24 cm</t>
  </si>
  <si>
    <t>104-642E-29R-2, 40-44 cm</t>
  </si>
  <si>
    <t>104-642E-30R-6, 89-94 cm</t>
  </si>
  <si>
    <t>104-642E-35R-2, 78-86 cm</t>
  </si>
  <si>
    <t>104-642E-35R-4, 72-77 cm</t>
  </si>
  <si>
    <t>104-642E-36R-2, 23-28 cm</t>
  </si>
  <si>
    <t>104-642E-37R-1, 25-33 cm</t>
  </si>
  <si>
    <t>104-642E-37R-1, 33-40 cm</t>
  </si>
  <si>
    <t>104-642E-37R-2, 37-43 cm</t>
  </si>
  <si>
    <t>104-642E-38R-4, 53-60 cm</t>
  </si>
  <si>
    <t>104-642E-41R-3, 74-80 cm</t>
  </si>
  <si>
    <t>104-642E-41R-3, 142-147 cm</t>
  </si>
  <si>
    <t>104-642E-42R-2, 25-30 cm</t>
  </si>
  <si>
    <t>104-642E-46R-3, 140-145 cm</t>
  </si>
  <si>
    <t>104-642E-47R-1, 113-119 cm</t>
  </si>
  <si>
    <t>104-642E-50R-2, 19-22 cm</t>
  </si>
  <si>
    <t>104-642E-51R-1, 27-33 cm</t>
  </si>
  <si>
    <t>104-642E-52R-4, 3-7 cm</t>
  </si>
  <si>
    <t>104-642E-52R-5, 30-34 cm</t>
  </si>
  <si>
    <t>104-642E-54R-3, 70-75 cm</t>
  </si>
  <si>
    <t>104-642E-56R-1, 1-4 cm</t>
  </si>
  <si>
    <t>104-642E-58R-1, 130-135 cm</t>
  </si>
  <si>
    <t>104-642E-60R-1, 16-23 cm</t>
  </si>
  <si>
    <t>104-642E-60R-2, 115-121 cm</t>
  </si>
  <si>
    <t>104-642E-61R-2, 40-48 cm</t>
  </si>
  <si>
    <t>104-642E-62R-1, 61-66 cm</t>
  </si>
  <si>
    <t>104-642E-64R-1, 65-71 cm</t>
  </si>
  <si>
    <t>104-642E-64R-4, 124-129 cm</t>
  </si>
  <si>
    <t>104-642E-64R-5, 80-84 cm</t>
  </si>
  <si>
    <t>104-642E-64R-5, 84-86 cm</t>
  </si>
  <si>
    <t>104-642E-66R-3, 70-76 cm</t>
  </si>
  <si>
    <t>104-642E-67R-1, 24-29 cm</t>
  </si>
  <si>
    <t>104-642E-68R-1, 55-65 cm</t>
  </si>
  <si>
    <t>104-642E-68R-1, 137-144 cm</t>
  </si>
  <si>
    <t>104-642E-68R-2, 124-129 cm</t>
  </si>
  <si>
    <t>104-642E-69R-1, 92-98 cm</t>
  </si>
  <si>
    <t>104-642E-69R-3, 125-129 cm</t>
  </si>
  <si>
    <t>104-642E-71R-2, 28-33 cm</t>
  </si>
  <si>
    <t>104-642E-71R-3, 48-53 cm</t>
  </si>
  <si>
    <t>104-642E-72R-2, 40-43 cm</t>
  </si>
  <si>
    <t>104-642E-74R-2, 50-54 cm</t>
  </si>
  <si>
    <t>104-642E-75R-1, 23-30 cm</t>
  </si>
  <si>
    <t>104-642E-75R-1, 53-56 cm</t>
  </si>
  <si>
    <t>104-642E-76R-2, 0-7 cm</t>
  </si>
  <si>
    <t>104-642E-77R-1, 66-76 cm</t>
  </si>
  <si>
    <t>104-642E-78R-1, 53-58 cm</t>
  </si>
  <si>
    <t>104-642E-79R-1, 110-117 cm</t>
  </si>
  <si>
    <t>104-642E-79R-2, 109-113 cm</t>
  </si>
  <si>
    <t>104-642E-81R-1, 90-95 cm</t>
  </si>
  <si>
    <t>104-642E-83R-2, 85-90 cm</t>
  </si>
  <si>
    <t>104-642E-85R-1, 71-77 cm</t>
  </si>
  <si>
    <t>104-642E-86R-1, 44-49 cm</t>
  </si>
  <si>
    <t>104-642E-86R-2, 131-136 cm</t>
  </si>
  <si>
    <t>104-642E-86R-2, 88-95 cm</t>
  </si>
  <si>
    <t>104-642E-87R-1-71-73 cm</t>
  </si>
  <si>
    <t>104-642E-87R-2, 52-58 cm</t>
  </si>
  <si>
    <t>104-642E-90R-2, 68-72 cm</t>
  </si>
  <si>
    <t>104-642E-91R-1, 46-50 cm</t>
  </si>
  <si>
    <t>104-642E-93R-2, 48-52 cm</t>
  </si>
  <si>
    <t>104-642E-35R-3, 49-56 cm</t>
  </si>
  <si>
    <t>104-642E-35R-4, 121-126 cm</t>
  </si>
  <si>
    <t>volcanoclastic sediment</t>
  </si>
  <si>
    <t>104-642E-97R-2, 5-10 cm</t>
  </si>
  <si>
    <t>104-642E-98R-2, 66-70 cm</t>
  </si>
  <si>
    <t>104-642E-99R-2, 44-48 cm</t>
  </si>
  <si>
    <t>104-642E-101R-1, 70-75 cm</t>
  </si>
  <si>
    <t>104-642E-102R-2, 100-120 cm</t>
  </si>
  <si>
    <t>104-642E-105R-1, 114-120 cm</t>
  </si>
  <si>
    <t>104-642E-106R-1, 82-91 cm</t>
  </si>
  <si>
    <t>104-642E-107R-2, 87-90 cm</t>
  </si>
  <si>
    <t>104-642E-107R-4, 79-85 cm</t>
  </si>
  <si>
    <t>104-642E-108R-2, 81-86 cm</t>
  </si>
  <si>
    <t>104-642E-109R-1, 6-10 cm</t>
  </si>
  <si>
    <t>104-642E-109R-2, 42-46 cm</t>
  </si>
  <si>
    <t>104-642E-110R-1, 50-55 cm</t>
  </si>
  <si>
    <t>dacite</t>
  </si>
  <si>
    <t>volcanic glass</t>
  </si>
  <si>
    <t>andesite</t>
  </si>
  <si>
    <t>rhyolite</t>
  </si>
  <si>
    <t>642E-97R-2, 5-10</t>
  </si>
  <si>
    <t>642E-98R-2, 66-70</t>
  </si>
  <si>
    <t>642E-99R-2, 44-48</t>
  </si>
  <si>
    <t>642E-101R-1, 70-75</t>
  </si>
  <si>
    <t>642E-102R-2, 100-120</t>
  </si>
  <si>
    <t>642E-105R-1, 114-120</t>
  </si>
  <si>
    <t>642E-106R-1, 82-91</t>
  </si>
  <si>
    <t>642E-107R-2, 87-90</t>
  </si>
  <si>
    <t>642E-107R-4, 79-85</t>
  </si>
  <si>
    <t>642E-108R-2, 81-86</t>
  </si>
  <si>
    <t>642E-109R-1, 6-10</t>
  </si>
  <si>
    <t>642E-109R-2, 42-46</t>
  </si>
  <si>
    <t>642E-110R-1, 50-55</t>
  </si>
  <si>
    <t>338-43R-2, 111-118</t>
  </si>
  <si>
    <t>338-43R-3, 10-17</t>
  </si>
  <si>
    <t>338-43R-4, 89-95</t>
  </si>
  <si>
    <t>338-44R-2, 73-81</t>
  </si>
  <si>
    <t>338-44R-3, 29-35</t>
  </si>
  <si>
    <t>338-45R-1, 122-128</t>
  </si>
  <si>
    <t>338-45R-2, 12-18</t>
  </si>
  <si>
    <t>38-338-43R-2, 111-118 cm</t>
  </si>
  <si>
    <t>38-338-43R-3, 10-17 cm</t>
  </si>
  <si>
    <t>38-338-43R-4, 89-95 cm</t>
  </si>
  <si>
    <t>38-338-44R-2, 73-81 cm</t>
  </si>
  <si>
    <t>38-338-44R-3, 29-35 cm</t>
  </si>
  <si>
    <t>38-338-45R-1, 122-128 cm</t>
  </si>
  <si>
    <t>38-338-45R-2, 12-18 cm</t>
  </si>
  <si>
    <t>38-338-45R-2, 83-89 cm</t>
  </si>
  <si>
    <t xml:space="preserve">338-45R-2, 83-89 </t>
  </si>
  <si>
    <t>DSDP 38</t>
  </si>
  <si>
    <t>29/07/1974-26/09/1974</t>
  </si>
  <si>
    <t>38-342-7R-2, 77-85 cm</t>
  </si>
  <si>
    <t>38-342-7R-3, 94-100 cm</t>
  </si>
  <si>
    <t>38-342-7R-5, 139-144 cm</t>
  </si>
  <si>
    <t>38-342-7R-5, 93-100 cm</t>
  </si>
  <si>
    <t>38-342-8R-1, 101-106 cm</t>
  </si>
  <si>
    <t>38-342-8R-1, 93-99 cm</t>
  </si>
  <si>
    <t>38-342-8R-2, 144-150 cm</t>
  </si>
  <si>
    <t>38-342-8R-2, 65-73 cm</t>
  </si>
  <si>
    <t>38-342-8R-2, 9-16 cm</t>
  </si>
  <si>
    <t>38-342-8R-3, 143-150 cm</t>
  </si>
  <si>
    <t>38-342-8R-4, 144-150 cm</t>
  </si>
  <si>
    <t>38-342-8R-4, 55-64 cm</t>
  </si>
  <si>
    <t>342-7R-2, 77-85</t>
  </si>
  <si>
    <t>342-7R-3, 94-100</t>
  </si>
  <si>
    <t>342-7R-5, 139-144</t>
  </si>
  <si>
    <t>342-7R-5, 93-100</t>
  </si>
  <si>
    <t>342-8R-1, 101-106</t>
  </si>
  <si>
    <t>342-8R-1, 93-99</t>
  </si>
  <si>
    <t>342-8R-2, 144-150</t>
  </si>
  <si>
    <t>342-8R-2, 65-73</t>
  </si>
  <si>
    <t>342-8R-2, 9-16</t>
  </si>
  <si>
    <t>342-8R-3, 143-150</t>
  </si>
  <si>
    <t>342-8R-4, 144-150</t>
  </si>
  <si>
    <t>342-8R-4, 55-64</t>
  </si>
  <si>
    <t>343-12R-2, 147-150</t>
  </si>
  <si>
    <t>343-13R-2, 147-150</t>
  </si>
  <si>
    <t>343-13R-2, 24-30</t>
  </si>
  <si>
    <t>343-16R-3, 124-130</t>
  </si>
  <si>
    <t>38-343-12R-2, 147-150 cm</t>
  </si>
  <si>
    <t>38-343-13R-2, 147-150 cm</t>
  </si>
  <si>
    <t>38-343-13R-2, 24-30 cm</t>
  </si>
  <si>
    <t>38-343-16R-3, 124-130 cm</t>
  </si>
  <si>
    <t>FeOT</t>
  </si>
  <si>
    <t>396-U1566A-4R-1-A, 12 cm</t>
  </si>
  <si>
    <t>396-U1566A-4R-1-A, 48 cm</t>
  </si>
  <si>
    <t>396-U1566A-4R-1-A, 71 cm</t>
  </si>
  <si>
    <t>396-U1566A-4R-2-A, 20 cm</t>
  </si>
  <si>
    <t>396-U1566A-4R-2-A, 78 cm</t>
  </si>
  <si>
    <t>396-U1566A-4R-2-A, 130 cm</t>
  </si>
  <si>
    <t>396-U1566A-5R-1-A, 25 cm</t>
  </si>
  <si>
    <t>396-U1566A-5R-1-A, 106 cm</t>
  </si>
  <si>
    <t>396-U1566A-5R-1-A, 147 cm</t>
  </si>
  <si>
    <t>396-U1566A-5R-2-A, 105 cm</t>
  </si>
  <si>
    <t>396-U1566A-5R-2-A, 139 cm</t>
  </si>
  <si>
    <t>396-U1566A-6R-2-A, 39 cm</t>
  </si>
  <si>
    <t>396-U1566A-7R-2-A, 66 cm</t>
  </si>
  <si>
    <t>396-U1566A-7R-2-W 78/80-TSB, 79 cm</t>
  </si>
  <si>
    <t>396-U1566A-7R-3-W 68/70-TSB, 69 cm</t>
  </si>
  <si>
    <t>396-U1566A-8R-1-W 35/37-TSB, 36 cm</t>
  </si>
  <si>
    <t>396-U1566A-8R-1-A, 37 cm</t>
  </si>
  <si>
    <t>396-U1566A-8R-3-W 20/22-TSB, 21 cm</t>
  </si>
  <si>
    <t>396-U1566A-9R-2-A, 42 cm</t>
  </si>
  <si>
    <t>396-U1566A-10R-2-A, 37 cm</t>
  </si>
  <si>
    <t>396-U1566A-11R-2-A, 37 cm</t>
  </si>
  <si>
    <t>396-U1566A-12R-2-A, 98 cm</t>
  </si>
  <si>
    <t>396-U1566A-13R-1-A, 16 cm</t>
  </si>
  <si>
    <t>396-U1566A-13R-1-A, 100 cm</t>
  </si>
  <si>
    <t>396-U1566A-13R-2-A, 24 cm</t>
  </si>
  <si>
    <t>396-U1566A-13R-2-A, 93 cm</t>
  </si>
  <si>
    <t>396-U1566A-13R-3-A, 123 cm</t>
  </si>
  <si>
    <t>396-U1566A-13R-4-A, 30 cm</t>
  </si>
  <si>
    <t>396-U1566A-14R-1-A, 48 cm</t>
  </si>
  <si>
    <t>396-U1566A-14R-1-A, 131 cm</t>
  </si>
  <si>
    <t>396-U1566A-14R-2-A, 12 cm</t>
  </si>
  <si>
    <t>396-U1566A-14R-2-A, 72 cm</t>
  </si>
  <si>
    <t>396-U1566A-15R-1-A, 31 cm</t>
  </si>
  <si>
    <t>396-U1566A-15R-1-A, 112 cm</t>
  </si>
  <si>
    <t>396-U1566A-15R-2-A, 61 cm</t>
  </si>
  <si>
    <t>396-U1566A-15R-2-A, 90 cm</t>
  </si>
  <si>
    <t>396-U1566A-16R-1-A, 41 cm</t>
  </si>
  <si>
    <t>396-U1566A-16R-1-A, 88 cm</t>
  </si>
  <si>
    <t>396-U1566A-16R-2-A, 10 cm</t>
  </si>
  <si>
    <t>396-U1566A-16R-2-A, 105 cm</t>
  </si>
  <si>
    <t>396-U1566A-16R-3-A, 120 cm</t>
  </si>
  <si>
    <t>396-U1566A-16R-4-A, 18 cm</t>
  </si>
  <si>
    <t>396-U1566A-17R-1-A, 30 cm</t>
  </si>
  <si>
    <t>396-U1566A-17R-1-A, 114 cm</t>
  </si>
  <si>
    <t>396-U1566A-17R-2-A, 64 cm</t>
  </si>
  <si>
    <t>396-U1566A-17R-3-A, 122 cm</t>
  </si>
  <si>
    <t>396-U1566A-17R-4-A, 6 cm</t>
  </si>
  <si>
    <t>396-U1566A-17R-4-A, 74 cm</t>
  </si>
  <si>
    <t>396-U1566A-18R-1-A, 34 cm</t>
  </si>
  <si>
    <t>396-U1566A-18R-1-A, 90 cm</t>
  </si>
  <si>
    <t>396-U1566A-18R-2-A, 88 cm</t>
  </si>
  <si>
    <t>396-U1566A-18R-3-A, 28 cm</t>
  </si>
  <si>
    <t>396-U1566A-18R-3-A, 111 cm</t>
  </si>
  <si>
    <t>396-U1566A-18R-4-A, 28 cm</t>
  </si>
  <si>
    <t>396-U1566A-19R-2-A, 23 cm</t>
  </si>
  <si>
    <t>396-U1566A-19R-2-A, 88 cm</t>
  </si>
  <si>
    <t>396-U1566A-19R-1-A, 104 cm</t>
  </si>
  <si>
    <t>396-U1566A-19R-3-A, 115 cm</t>
  </si>
  <si>
    <t>396-U1566A-19R-3-A, 57 cm</t>
  </si>
  <si>
    <t>396-U1566A-20R-1-A, 38 cm</t>
  </si>
  <si>
    <t>396-U1566A-20R-1-A, 132 cm</t>
  </si>
  <si>
    <t>396-U1566A-20R-2-A, 39 cm</t>
  </si>
  <si>
    <t>396-U1566A-20R-2-A, 130 cm</t>
  </si>
  <si>
    <t>396-U1566A-20R-3-A, 7 cm</t>
  </si>
  <si>
    <t>396-U1566A-20R-3-A, 67 cm</t>
  </si>
  <si>
    <t>396-U1566A-21R-1-A, 54 cm</t>
  </si>
  <si>
    <t>396-U1566A-21R-2-A, 61 cm</t>
  </si>
  <si>
    <t>396-U1566A-21R-3-A, 58 cm</t>
  </si>
  <si>
    <t>396-U1566A-21R-3-A, 124.5 cm</t>
  </si>
  <si>
    <t>396-U1566A-22R-1-A, 124 cm</t>
  </si>
  <si>
    <t>396-U1566A-22R-2-A, 8 cm</t>
  </si>
  <si>
    <t>396-U1566A-22R-2-A, 87 cm</t>
  </si>
  <si>
    <t>396-U1566A-22R-3-A, 139 cm</t>
  </si>
  <si>
    <t>396-U1566A-23R-1-A, 67 cm</t>
  </si>
  <si>
    <t>396-U1566A-24R-1-A, 8 cm</t>
  </si>
  <si>
    <t>396-U1566A-24R-1-A, 146 cm</t>
  </si>
  <si>
    <t>396-U1566A-24R-2-A, 26 cm</t>
  </si>
  <si>
    <t>396-U1566A-25R-2-A, 20 cm</t>
  </si>
  <si>
    <t>396-U1566A-25R-2-A, 123 cm</t>
  </si>
  <si>
    <t>396-U1566A-25R-3-A, 25 cm</t>
  </si>
  <si>
    <t>396-U1566A-26R-1-A, 145 cm</t>
  </si>
  <si>
    <t>396-U1566A-26R-1-A, 94 cm</t>
  </si>
  <si>
    <t>396-U1566A-26R-2-A, 49 cm</t>
  </si>
  <si>
    <t>396-U1566A-26R-3-A, 81 cm</t>
  </si>
  <si>
    <t>396-U1566A-27R-1-A, 32 cm</t>
  </si>
  <si>
    <t>396-U1566A-27R-2-A, 75 cm</t>
  </si>
  <si>
    <t>396-U1566A-27R-3-A, 81 cm</t>
  </si>
  <si>
    <t>396-U1566A-27R-3-A, 112 cm</t>
  </si>
  <si>
    <t>396-U1566A-25R-1-A, 86 cm</t>
  </si>
  <si>
    <t>396-U1566A-27R-4-A, 21 cm</t>
  </si>
  <si>
    <t>396-U1566A-28R-1-A, 15 cm</t>
  </si>
  <si>
    <t>396-U1566A-28R-1-A, 91 cm</t>
  </si>
  <si>
    <t>396-U1566A-28R-2-A, 73 cm</t>
  </si>
  <si>
    <t>396-U1566A-28R-3-A, 57 cm</t>
  </si>
  <si>
    <t>396-U1566A-29R-1-A, 4 cm</t>
  </si>
  <si>
    <t>396-U1566A-32R-1-A, 3 cm</t>
  </si>
  <si>
    <t>396-U1566A-29R-1-A, 22 cm</t>
  </si>
  <si>
    <t>396-U1566A-25R-2-A, 36 cm</t>
  </si>
  <si>
    <t>396-U1566A-26R-1-A, 36 cm</t>
  </si>
  <si>
    <t>396-U1566A-26R-2-A, 141 cm</t>
  </si>
  <si>
    <t>396-U1566A-28R-1-A, 136 cm</t>
  </si>
  <si>
    <t>396-U1566A-29R-1-A, 124 cm</t>
  </si>
  <si>
    <t>396-U1566A-29R-1-A, 136 cm</t>
  </si>
  <si>
    <t>396-U1566A-30R-1-A, 63 cm</t>
  </si>
  <si>
    <t>396-U1566A-31R-1-A, 109 cm</t>
  </si>
  <si>
    <t>396-U1566A-32R-1-A, 33 cm</t>
  </si>
  <si>
    <t>396-U1566A-32R-3-A, 91 cm</t>
  </si>
  <si>
    <t>picrite</t>
  </si>
  <si>
    <t>carbonated picrite</t>
  </si>
  <si>
    <t>altered basalt</t>
  </si>
  <si>
    <t>granite (alterered)</t>
  </si>
  <si>
    <t>in situ - pXRF</t>
  </si>
  <si>
    <t>transition basalt/granite</t>
  </si>
  <si>
    <t>U1566A-4R-1-A, 12</t>
  </si>
  <si>
    <t>U1566A-4R-1-A, 48</t>
  </si>
  <si>
    <t>U1566A-4R-1-A, 71</t>
  </si>
  <si>
    <t>U1566A-4R-2-A, 20</t>
  </si>
  <si>
    <t>U1566A-4R-2-A, 78</t>
  </si>
  <si>
    <t>U1566A-4R-2-A, 130</t>
  </si>
  <si>
    <t>U1566A-5R-1-A, 25</t>
  </si>
  <si>
    <t>U1566A-5R-1-A, 106</t>
  </si>
  <si>
    <t>U1566A-5R-1-A, 147</t>
  </si>
  <si>
    <t>U1566A-5R-2-A, 105</t>
  </si>
  <si>
    <t>U1566A-5R-2-A, 139</t>
  </si>
  <si>
    <t>U1566A-6R-2-A, 39</t>
  </si>
  <si>
    <t>U1566A-7R-2-A, 66</t>
  </si>
  <si>
    <t>U1566A-7R-2-W 78/80-TSB, 79</t>
  </si>
  <si>
    <t>U1566A-7R-3-W 68/70-TSB, 69</t>
  </si>
  <si>
    <t>U1566A-8R-1-W 35/37-TSB, 36</t>
  </si>
  <si>
    <t>U1566A-8R-1-A, 37</t>
  </si>
  <si>
    <t>U1566A-8R-3-W 20/22-TSB, 21</t>
  </si>
  <si>
    <t>U1566A-9R-2-A, 42</t>
  </si>
  <si>
    <t>U1566A-10R-2-A, 37</t>
  </si>
  <si>
    <t>U1566A-11R-2-A, 37</t>
  </si>
  <si>
    <t>U1566A-12R-2-A, 98</t>
  </si>
  <si>
    <t>U1566A-13R-1-A, 16</t>
  </si>
  <si>
    <t>U1566A-13R-1-A, 100</t>
  </si>
  <si>
    <t>U1566A-13R-2-A, 24</t>
  </si>
  <si>
    <t>U1566A-13R-2-A, 93</t>
  </si>
  <si>
    <t>U1566A-13R-3-A, 123</t>
  </si>
  <si>
    <t>U1566A-13R-4-A, 30</t>
  </si>
  <si>
    <t>U1566A-14R-1-A, 48</t>
  </si>
  <si>
    <t>U1566A-14R-1-A, 131</t>
  </si>
  <si>
    <t>U1566A-14R-2-A, 12</t>
  </si>
  <si>
    <t>U1566A-14R-2-A, 72</t>
  </si>
  <si>
    <t>U1566A-15R-1-A, 31</t>
  </si>
  <si>
    <t>U1566A-15R-1-A, 112</t>
  </si>
  <si>
    <t>U1566A-15R-2-A, 61</t>
  </si>
  <si>
    <t>U1566A-15R-2-A, 90</t>
  </si>
  <si>
    <t>U1566A-16R-1-A, 41</t>
  </si>
  <si>
    <t>U1566A-16R-1-A, 88</t>
  </si>
  <si>
    <t>U1566A-16R-2-A, 10</t>
  </si>
  <si>
    <t>U1566A-16R-2-A, 105</t>
  </si>
  <si>
    <t>U1566A-16R-3-A, 120</t>
  </si>
  <si>
    <t>U1566A-16R-4-A, 18</t>
  </si>
  <si>
    <t>U1566A-17R-1-A, 30</t>
  </si>
  <si>
    <t>U1566A-17R-1-A, 114</t>
  </si>
  <si>
    <t>U1566A-17R-2-A, 64</t>
  </si>
  <si>
    <t>U1566A-17R-3-A, 122</t>
  </si>
  <si>
    <t>U1566A-17R-4-A, 6</t>
  </si>
  <si>
    <t>U1566A-17R-4-A, 74</t>
  </si>
  <si>
    <t>U1566A-18R-1-A, 34</t>
  </si>
  <si>
    <t>U1566A-18R-1-A, 90</t>
  </si>
  <si>
    <t>U1566A-18R-2-A, 88</t>
  </si>
  <si>
    <t>U1566A-18R-3-A, 28</t>
  </si>
  <si>
    <t>U1566A-18R-3-A, 111</t>
  </si>
  <si>
    <t>U1566A-18R-4-A, 28</t>
  </si>
  <si>
    <t>U1566A-19R-2-A, 23</t>
  </si>
  <si>
    <t>U1566A-19R-2-A, 88</t>
  </si>
  <si>
    <t>U1566A-19R-1-A, 104</t>
  </si>
  <si>
    <t>U1566A-19R-3-A, 115</t>
  </si>
  <si>
    <t>U1566A-19R-3-A, 57</t>
  </si>
  <si>
    <t>U1566A-20R-1-A, 38</t>
  </si>
  <si>
    <t>U1566A-20R-1-A, 132</t>
  </si>
  <si>
    <t>U1566A-20R-2-A, 39</t>
  </si>
  <si>
    <t>U1566A-20R-2-A, 130</t>
  </si>
  <si>
    <t>U1566A-20R-3-A, 7</t>
  </si>
  <si>
    <t>U1566A-20R-3-A, 67</t>
  </si>
  <si>
    <t>U1566A-21R-1-A, 54</t>
  </si>
  <si>
    <t>U1566A-21R-2-A, 61</t>
  </si>
  <si>
    <t>U1566A-21R-3-A, 58</t>
  </si>
  <si>
    <t>U1566A-21R-3-A, 124.5</t>
  </si>
  <si>
    <t>U1566A-22R-1-A, 124</t>
  </si>
  <si>
    <t>U1566A-22R-2-A, 8</t>
  </si>
  <si>
    <t>U1566A-22R-2-A, 87</t>
  </si>
  <si>
    <t>U1566A-22R-3-A, 139</t>
  </si>
  <si>
    <t>U1566A-23R-1-A, 67</t>
  </si>
  <si>
    <t>U1566A-24R-1-A, 8</t>
  </si>
  <si>
    <t>U1566A-24R-1-A, 146</t>
  </si>
  <si>
    <t>U1566A-24R-2-A, 26</t>
  </si>
  <si>
    <t>U1566A-25R-2-A, 20</t>
  </si>
  <si>
    <t>U1566A-25R-2-A, 123</t>
  </si>
  <si>
    <t>U1566A-25R-3-A, 25</t>
  </si>
  <si>
    <t>U1566A-26R-1-A, 145</t>
  </si>
  <si>
    <t>U1566A-26R-1-A, 94</t>
  </si>
  <si>
    <t>U1566A-26R-2-A, 49</t>
  </si>
  <si>
    <t>U1566A-26R-3-A, 81</t>
  </si>
  <si>
    <t>U1566A-27R-1-A, 32</t>
  </si>
  <si>
    <t>U1566A-27R-2-A, 75</t>
  </si>
  <si>
    <t>U1566A-27R-3-A, 81</t>
  </si>
  <si>
    <t>U1566A-27R-3-A, 112</t>
  </si>
  <si>
    <t>U1566A-25R-1-A, 86</t>
  </si>
  <si>
    <t>U1566A-27R-4-A, 21</t>
  </si>
  <si>
    <t>U1566A-28R-1-A, 15</t>
  </si>
  <si>
    <t>U1566A-28R-1-A, 91</t>
  </si>
  <si>
    <t>U1566A-28R-2-A, 73</t>
  </si>
  <si>
    <t>U1566A-28R-3-A, 57</t>
  </si>
  <si>
    <t>U1566A-29R-1-A, 4</t>
  </si>
  <si>
    <t>U1566A-32R-1-A, 3</t>
  </si>
  <si>
    <t>U1566A-29R-1-A, 22</t>
  </si>
  <si>
    <t>U1566A-25R-2-A, 36</t>
  </si>
  <si>
    <t>U1566A-26R-1-A, 36</t>
  </si>
  <si>
    <t>U1566A-26R-2-A, 141</t>
  </si>
  <si>
    <t>U1566A-28R-1-A, 136</t>
  </si>
  <si>
    <t>U1566A-29R-1-A, 124</t>
  </si>
  <si>
    <t>U1566A-29R-1-A, 136</t>
  </si>
  <si>
    <t>U1566A-30R-1-A, 63</t>
  </si>
  <si>
    <t>U1566A-31R-1-A, 109</t>
  </si>
  <si>
    <t>U1566A-32R-1-A, 33</t>
  </si>
  <si>
    <t>U1566A-32R-3-A, 91</t>
  </si>
  <si>
    <t>396-U1571A-15R-CC-A, 11 cm</t>
  </si>
  <si>
    <t>396-U1571A-18R-2-A, 20 cm</t>
  </si>
  <si>
    <t>396-U1571A-18R-2-A, 135 cm</t>
  </si>
  <si>
    <t>396-U1571A-18R-3-A, 40 cm</t>
  </si>
  <si>
    <t>396-U1571A-18R-3-A, 119 cm</t>
  </si>
  <si>
    <t>396-U1571A-19R-1-A, 17 cm</t>
  </si>
  <si>
    <t>396-U1571A-19R-1-A, 79 cm</t>
  </si>
  <si>
    <t>396-U1571A-19R-1-A, 123 cm</t>
  </si>
  <si>
    <t>396-U1571A-21R-CC-A, 3 cm</t>
  </si>
  <si>
    <t>396-U1571A-22R-1-A, 29 cm</t>
  </si>
  <si>
    <t>396-U1571A-22R-1-A, 120 cm</t>
  </si>
  <si>
    <t>396-U1571A-22R-2-A, 16 cm</t>
  </si>
  <si>
    <t>396-U1571A-22R-2-A, 110 cm</t>
  </si>
  <si>
    <t>396-U1571A-23R-1-A, 12 cm</t>
  </si>
  <si>
    <t>396-U1571A-23R-1-A, 53 cm</t>
  </si>
  <si>
    <t>396-U1571A-23R-1-A, 97 cm</t>
  </si>
  <si>
    <t>396-U1571A-23R-3-A, 47 cm</t>
  </si>
  <si>
    <t>396-U1571A-24R-1-A, 47 cm</t>
  </si>
  <si>
    <t>396-U1571A-24R-1-A, 135 cm</t>
  </si>
  <si>
    <t>396-U1571A-24R-2-A, 5 cm</t>
  </si>
  <si>
    <t>396-U1571A-24R-2-A, 64 cm</t>
  </si>
  <si>
    <t>396-U1571A-24R-2-A, 143 cm</t>
  </si>
  <si>
    <t>396-U1571A-24R-3-A, 16 cm</t>
  </si>
  <si>
    <t>396-U1571A-24R-3-A, 51 cm</t>
  </si>
  <si>
    <t>396-U1571A-24R-3-A, 149 cm</t>
  </si>
  <si>
    <t>396-U1571A-25R-1-A, 50 cm</t>
  </si>
  <si>
    <t>396-U1571A-25R-2-A, 8 cm</t>
  </si>
  <si>
    <t>396-U1571A-25R-2-A, 124 cm</t>
  </si>
  <si>
    <t>396-U1571A-25R-3-A, 66 cm</t>
  </si>
  <si>
    <t>396-U1571A-25R-3-A, 20 cm</t>
  </si>
  <si>
    <t>396-U1571A-25R-3-A, 130 cm</t>
  </si>
  <si>
    <t>396-U1571A-25R-4-A, 42 cm</t>
  </si>
  <si>
    <t>396-U1571A-26R-1-A, 13 cm</t>
  </si>
  <si>
    <t>396-U1571A-26R-1-A, 115 cm</t>
  </si>
  <si>
    <t>396-U1571A-26R-2-A, 63 cm</t>
  </si>
  <si>
    <t>396-U1571A-26R-2-A, 115 cm</t>
  </si>
  <si>
    <t>396-U1571A-26R-3-A, 44 cm</t>
  </si>
  <si>
    <t>396-U1571A-26R-3-A, 118 cm</t>
  </si>
  <si>
    <t>396-U1571A-26R-4-A, 50 cm</t>
  </si>
  <si>
    <t>396-U1571A-26R-4-A, 114 cm</t>
  </si>
  <si>
    <t>396-U1571A-27R-1-A, 72 cm</t>
  </si>
  <si>
    <t>396-U1571A-27R-1-A, 139 cm</t>
  </si>
  <si>
    <t>396-U1571A-27R-2-A, 28 cm</t>
  </si>
  <si>
    <t>396-U1571A-27R-2-A, 119 cm</t>
  </si>
  <si>
    <t>396-U1571A-27R-3-A, 72 cm</t>
  </si>
  <si>
    <t>396-U1571A-27R-4-A, 11 cm</t>
  </si>
  <si>
    <t>396-U1571A-28R-1-A, 68 cm</t>
  </si>
  <si>
    <t>396-U1571A-28R-2-A, 86 cm</t>
  </si>
  <si>
    <t>396-U1571A-28R-3-A, 76 cm</t>
  </si>
  <si>
    <t>396-U1571A-28R-4-A, 26 cm</t>
  </si>
  <si>
    <t>396-U1571A-29R-1-A, 50 cm</t>
  </si>
  <si>
    <t>396-U1571A-29R-2-A, 76 cm</t>
  </si>
  <si>
    <t>396-U1571A-29R-3-A, 21 cm</t>
  </si>
  <si>
    <t>396-U1571A-29R-3-A, 111 cm</t>
  </si>
  <si>
    <t>396-U1571A-29R-4-A, 20 cm</t>
  </si>
  <si>
    <t>396-U1571A-30R-1-A, 71 cm</t>
  </si>
  <si>
    <t>396-U1571A-30R-2-A, 56 cm</t>
  </si>
  <si>
    <t>396-U1571A-30R-3-A, 70 cm</t>
  </si>
  <si>
    <t>396-U1571A-30R-4-A, 40 cm</t>
  </si>
  <si>
    <t>396-U1571A-31R-1-A, 50 cm</t>
  </si>
  <si>
    <t>396-U1571A-31R-2-A, 60 cm</t>
  </si>
  <si>
    <t>396-U1571A-31R-3-A, 127 cm</t>
  </si>
  <si>
    <t>396-U1571A-31R-4-A, 89 cm</t>
  </si>
  <si>
    <t>396-U1571A-32R-1-A, 3 cm</t>
  </si>
  <si>
    <t>396-U1571A-32R-1-A, 115 cm</t>
  </si>
  <si>
    <t>396-U1571A-32R-2-A, 88 cm</t>
  </si>
  <si>
    <t>396-U1571A-32R-3-A, 31 cm</t>
  </si>
  <si>
    <t>396-U1571A-32R-4-A, 35 cm</t>
  </si>
  <si>
    <t>396-U1571A-32R-4-A, 108 cm</t>
  </si>
  <si>
    <t>396-U1571A-33R-1-A, 59 cm</t>
  </si>
  <si>
    <t>396-U1571A-33R-2-A, 107 cm</t>
  </si>
  <si>
    <t>396-U1571A-33R-3-A, 22 cm</t>
  </si>
  <si>
    <t>396-U1571A-33R-3-A, 39 cm</t>
  </si>
  <si>
    <t>396-U1571A-34R-1-A, 70 cm</t>
  </si>
  <si>
    <t>396-U1571A-34R-1-A, 12 cm</t>
  </si>
  <si>
    <t>396-U1571A-34R-1-A, 30 cm</t>
  </si>
  <si>
    <t>396-U1571A-34R-2-A, 15 cm</t>
  </si>
  <si>
    <t>396-U1571A-34R-2-A, 89 cm</t>
  </si>
  <si>
    <t>396-U1571A-35R-1-A, 42 cm</t>
  </si>
  <si>
    <t>396-U1571A-35R-1-A, 99 cm</t>
  </si>
  <si>
    <t>396-U1571A-35R-1-A, 123 cm</t>
  </si>
  <si>
    <t>396-U1571A-35R-2-A, 5 cm</t>
  </si>
  <si>
    <t>396-U1571A-35R-2-A, 62 cm</t>
  </si>
  <si>
    <t>396-U1571A-35R-2-A, 83 cm</t>
  </si>
  <si>
    <t>396-U1571A-36R-2-A, 23 cm</t>
  </si>
  <si>
    <t>396-U1571A-36R-2-A, 112 cm</t>
  </si>
  <si>
    <t>396-U1571A-36R-3-A, 16 cm</t>
  </si>
  <si>
    <t>396-U1571A-36R-3-A, 94 cm</t>
  </si>
  <si>
    <t>396-U1571A-37R-1-A, 67 cm</t>
  </si>
  <si>
    <t>396-U1571A-37R-2-A, 35 cm</t>
  </si>
  <si>
    <t>396-U1571A-37R-2-A, 113 cm</t>
  </si>
  <si>
    <t>396-U1571A-37R-3-A, 60 cm</t>
  </si>
  <si>
    <t>396-U1571A-38R-1-A, 74 cm</t>
  </si>
  <si>
    <t>396-U1571A-38R-2-A, 50 cm</t>
  </si>
  <si>
    <t>396-U1571A-38R-2-A, 139 cm</t>
  </si>
  <si>
    <t>396-U1571A-38R-3-A, 14 cm</t>
  </si>
  <si>
    <t>396-U1571A-38R-3-A, 105 cm</t>
  </si>
  <si>
    <t>396-U1571A-38R-4-A, 51 cm</t>
  </si>
  <si>
    <t>396-U1571A-39R-1-A, 110 cm</t>
  </si>
  <si>
    <t>396-U1571A-39R-1-A, 25 cm</t>
  </si>
  <si>
    <t>396-U1571A-39R-2-A, 131 cm</t>
  </si>
  <si>
    <t>396-U1571A-39R-3-A, 141 cm</t>
  </si>
  <si>
    <t>U1571A-15R-CC-A, 11</t>
  </si>
  <si>
    <t>U1571A-18R-2-A, 20</t>
  </si>
  <si>
    <t>U1571A-18R-2-A, 135</t>
  </si>
  <si>
    <t>U1571A-18R-3-A, 40</t>
  </si>
  <si>
    <t>U1571A-18R-3-A, 119</t>
  </si>
  <si>
    <t>U1571A-19R-1-A, 17</t>
  </si>
  <si>
    <t>U1571A-19R-1-A, 79</t>
  </si>
  <si>
    <t>U1571A-19R-1-A, 123</t>
  </si>
  <si>
    <t>U1571A-21R-CC-A, 3</t>
  </si>
  <si>
    <t>U1571A-22R-1-A, 29</t>
  </si>
  <si>
    <t>U1571A-22R-1-A, 120</t>
  </si>
  <si>
    <t>U1571A-22R-2-A, 16</t>
  </si>
  <si>
    <t>U1571A-22R-2-A, 110</t>
  </si>
  <si>
    <t>U1571A-23R-1-A, 12</t>
  </si>
  <si>
    <t>U1571A-23R-1-A, 53</t>
  </si>
  <si>
    <t>U1571A-23R-1-A, 97</t>
  </si>
  <si>
    <t>U1571A-23R-3-A, 47</t>
  </si>
  <si>
    <t>U1571A-24R-1-A, 47</t>
  </si>
  <si>
    <t>U1571A-24R-1-A, 135</t>
  </si>
  <si>
    <t>U1571A-24R-2-A, 5</t>
  </si>
  <si>
    <t>U1571A-24R-2-A, 64</t>
  </si>
  <si>
    <t>U1571A-24R-2-A, 143</t>
  </si>
  <si>
    <t>U1571A-24R-3-A, 16</t>
  </si>
  <si>
    <t>U1571A-24R-3-A, 51</t>
  </si>
  <si>
    <t>U1571A-24R-3-A, 149</t>
  </si>
  <si>
    <t>U1571A-25R-1-A, 50</t>
  </si>
  <si>
    <t>U1571A-25R-2-A, 8</t>
  </si>
  <si>
    <t>U1571A-25R-2-A, 124</t>
  </si>
  <si>
    <t>U1571A-25R-3-A, 66</t>
  </si>
  <si>
    <t>U1571A-25R-3-A, 20</t>
  </si>
  <si>
    <t>U1571A-25R-3-A, 130</t>
  </si>
  <si>
    <t>U1571A-25R-4-A, 42</t>
  </si>
  <si>
    <t>U1571A-26R-1-A, 13</t>
  </si>
  <si>
    <t>U1571A-26R-1-A, 115</t>
  </si>
  <si>
    <t>U1571A-26R-2-A, 63</t>
  </si>
  <si>
    <t>U1571A-26R-2-A, 115</t>
  </si>
  <si>
    <t>U1571A-26R-3-A, 44</t>
  </si>
  <si>
    <t>U1571A-26R-3-A, 118</t>
  </si>
  <si>
    <t>U1571A-26R-4-A, 50</t>
  </si>
  <si>
    <t>U1571A-26R-4-A, 114</t>
  </si>
  <si>
    <t>U1571A-27R-1-A, 72</t>
  </si>
  <si>
    <t>U1571A-27R-1-A, 139</t>
  </si>
  <si>
    <t>U1571A-27R-2-A, 28</t>
  </si>
  <si>
    <t>U1571A-27R-2-A, 119</t>
  </si>
  <si>
    <t>U1571A-27R-3-A, 72</t>
  </si>
  <si>
    <t>U1571A-27R-4-A, 11</t>
  </si>
  <si>
    <t>U1571A-28R-1-A, 68</t>
  </si>
  <si>
    <t>U1571A-28R-2-A, 86</t>
  </si>
  <si>
    <t>U1571A-28R-3-A, 76</t>
  </si>
  <si>
    <t>U1571A-28R-4-A, 26</t>
  </si>
  <si>
    <t>U1571A-29R-1-A, 50</t>
  </si>
  <si>
    <t>U1571A-29R-2-A, 76</t>
  </si>
  <si>
    <t>U1571A-29R-3-A, 21</t>
  </si>
  <si>
    <t>U1571A-29R-3-A, 111</t>
  </si>
  <si>
    <t>U1571A-29R-4-A, 20</t>
  </si>
  <si>
    <t>U1571A-30R-1-A, 71</t>
  </si>
  <si>
    <t>U1571A-30R-2-A, 56</t>
  </si>
  <si>
    <t>U1571A-30R-3-A, 70</t>
  </si>
  <si>
    <t>U1571A-30R-4-A, 40</t>
  </si>
  <si>
    <t>U1571A-31R-1-A, 50</t>
  </si>
  <si>
    <t>U1571A-31R-2-A, 60</t>
  </si>
  <si>
    <t>U1571A-31R-3-A, 127</t>
  </si>
  <si>
    <t>U1571A-31R-4-A, 89</t>
  </si>
  <si>
    <t>U1571A-32R-1-A, 3</t>
  </si>
  <si>
    <t>U1571A-32R-1-A, 115</t>
  </si>
  <si>
    <t>U1571A-32R-2-A, 88</t>
  </si>
  <si>
    <t>U1571A-32R-3-A, 31</t>
  </si>
  <si>
    <t>U1571A-32R-4-A, 35</t>
  </si>
  <si>
    <t>U1571A-32R-4-A, 108</t>
  </si>
  <si>
    <t>U1571A-33R-1-A, 59</t>
  </si>
  <si>
    <t>U1571A-33R-2-A, 107</t>
  </si>
  <si>
    <t>U1571A-33R-3-A, 22</t>
  </si>
  <si>
    <t>U1571A-33R-3-A, 39</t>
  </si>
  <si>
    <t>U1571A-34R-1-A, 70</t>
  </si>
  <si>
    <t>U1571A-34R-1-A, 12</t>
  </si>
  <si>
    <t>U1571A-34R-1-A, 30</t>
  </si>
  <si>
    <t>U1571A-34R-2-A, 15</t>
  </si>
  <si>
    <t>U1571A-34R-2-A, 89</t>
  </si>
  <si>
    <t>U1571A-35R-1-A, 42</t>
  </si>
  <si>
    <t>U1571A-35R-1-A, 99</t>
  </si>
  <si>
    <t>U1571A-35R-1-A, 123</t>
  </si>
  <si>
    <t>U1571A-35R-2-A, 5</t>
  </si>
  <si>
    <t>U1571A-35R-2-A, 62</t>
  </si>
  <si>
    <t>U1571A-35R-2-A, 83</t>
  </si>
  <si>
    <t>U1571A-36R-2-A, 23</t>
  </si>
  <si>
    <t>U1571A-36R-2-A, 112</t>
  </si>
  <si>
    <t>U1571A-36R-3-A, 16</t>
  </si>
  <si>
    <t>U1571A-36R-3-A, 94</t>
  </si>
  <si>
    <t>U1571A-37R-1-A, 67</t>
  </si>
  <si>
    <t>U1571A-37R-2-A, 35</t>
  </si>
  <si>
    <t>U1571A-37R-2-A, 113</t>
  </si>
  <si>
    <t>U1571A-37R-3-A, 60</t>
  </si>
  <si>
    <t>U1571A-38R-1-A, 74</t>
  </si>
  <si>
    <t>U1571A-38R-2-A, 50</t>
  </si>
  <si>
    <t>U1571A-38R-2-A, 139</t>
  </si>
  <si>
    <t>U1571A-38R-3-A, 14</t>
  </si>
  <si>
    <t>U1571A-38R-3-A, 105</t>
  </si>
  <si>
    <t>U1571A-38R-4-A, 51</t>
  </si>
  <si>
    <t>U1571A-39R-1-A, 110</t>
  </si>
  <si>
    <t>U1571A-39R-1-A, 25</t>
  </si>
  <si>
    <t>U1571A-39R-2-A, 131</t>
  </si>
  <si>
    <t>U1571A-39R-3-A, 141</t>
  </si>
  <si>
    <t>396-U1572A-23R-1-A, 37 cm</t>
  </si>
  <si>
    <t>396-U1572A-23R-1-A, 77 cm</t>
  </si>
  <si>
    <t>396-U1572A-23R-1-A, 105 cm</t>
  </si>
  <si>
    <t>396-U1572A-23R-2-A, 51 cm</t>
  </si>
  <si>
    <t>396-U1572A-23R-3-A, 45 cm</t>
  </si>
  <si>
    <t>396-U1572A-24R-1-A, 36 cm</t>
  </si>
  <si>
    <t>396-U1572A-24R-2-A, 60 cm</t>
  </si>
  <si>
    <t>396-U1572A-24R-3-A, 84 cm</t>
  </si>
  <si>
    <t>396-U1572A-24R-4-A, 48 cm</t>
  </si>
  <si>
    <t>396-U1572A-25R-1-A, 30 cm</t>
  </si>
  <si>
    <t>396-U1572A-25R-2-A, 35 cm</t>
  </si>
  <si>
    <t>396-U1572A-25R-3-A, 107 cm</t>
  </si>
  <si>
    <t>396-U1572A-25R-4-A, 85 cm</t>
  </si>
  <si>
    <t>396-U1572A-25R-5-A, 5 cm</t>
  </si>
  <si>
    <t>396-U1572A-26R-1-A, 21 cm</t>
  </si>
  <si>
    <t>396-U1572A-26R-2-A, 62 cm</t>
  </si>
  <si>
    <t>396-U1572A-26R-3-A, 56 cm</t>
  </si>
  <si>
    <t>396-U1572A-26R-4-A, 70 cm</t>
  </si>
  <si>
    <t>396-U1572A-26R-4-A, 85 cm</t>
  </si>
  <si>
    <t>396-U1572A-27R-1-A, 80 cm</t>
  </si>
  <si>
    <t>396-U1572A-27R-2-A, 69 cm</t>
  </si>
  <si>
    <t>396-U1572A-28R-1-A, 3 cm</t>
  </si>
  <si>
    <t>396-U1572A-29R-1-A, 94 cm</t>
  </si>
  <si>
    <t>396-U1572A-29R-2-A, 85 cm</t>
  </si>
  <si>
    <t>396-U1572A-29R-3-A, 35 cm</t>
  </si>
  <si>
    <t>396-U1572A-30R-2-A, 65 cm</t>
  </si>
  <si>
    <t>396-U1572A-31R-1-A, 15 cm</t>
  </si>
  <si>
    <t>396-U1572A-31R-1-A, 139 cm</t>
  </si>
  <si>
    <t>396-U1572A-31R-2-A, 67 cm</t>
  </si>
  <si>
    <t>396-U1572A-31R-3-A, 105 cm</t>
  </si>
  <si>
    <t>396-U1572A-32R-1-A, 71 cm</t>
  </si>
  <si>
    <t>396-U1572A-32R-2-A, 35 cm</t>
  </si>
  <si>
    <t>396-U1572A-32R-3-A, 54 cm</t>
  </si>
  <si>
    <t>396-U1572A-32R-4-A, 55 cm</t>
  </si>
  <si>
    <t>396-U1572A-33R-1-A, 14 cm</t>
  </si>
  <si>
    <t>396-U1572A-33R-2-A, 76 cm</t>
  </si>
  <si>
    <t>396-U1572A-33R-3-A, 82 cm</t>
  </si>
  <si>
    <t>396-U1572A-33R-4-A, 101 cm</t>
  </si>
  <si>
    <t>396-U1572A-33R-5-A, 11 cm</t>
  </si>
  <si>
    <t>396-U1572A-34R-1-A, 73 cm</t>
  </si>
  <si>
    <t>396-U1572A-34R-2-A, 55 cm</t>
  </si>
  <si>
    <t>396-U1572A-34R-3-A, 66 cm</t>
  </si>
  <si>
    <t>396-U1572A-34R-4-A, 19 cm</t>
  </si>
  <si>
    <t>396-U1572A-35R-1-A, 45 cm</t>
  </si>
  <si>
    <t>396-U1572A-35R-2-A, 80 cm</t>
  </si>
  <si>
    <t>396-U1572A-35R-3-A, 84 cm</t>
  </si>
  <si>
    <t>396-U1572A-36R-1-A, 35 cm</t>
  </si>
  <si>
    <t>396-U1572A-36R-2-A, 38 cm</t>
  </si>
  <si>
    <t>396-U1572A-36R-3-A, 24 cm</t>
  </si>
  <si>
    <t>396-U1572A-37R-1-A, 6 cm</t>
  </si>
  <si>
    <t>396-U1572A-37R-2-A, 86 cm</t>
  </si>
  <si>
    <t>396-U1572A-37R-3-A, 116 cm</t>
  </si>
  <si>
    <t>396-U1572A-38R-1-A, 107 cm</t>
  </si>
  <si>
    <t>396-U1572A-38R-2-A, 147 cm</t>
  </si>
  <si>
    <t>396-U1572A-38R-3-A, 88 cm</t>
  </si>
  <si>
    <t>396-U1572A-38R-4-A, 17 cm</t>
  </si>
  <si>
    <t>396-U1572A-39R-1-A, 63 cm</t>
  </si>
  <si>
    <t>396-U1572A-39R-2-A, 89 cm</t>
  </si>
  <si>
    <t>396-U1572A-39R-3-A, 103 cm</t>
  </si>
  <si>
    <t>396-U1572A-39R-3-A, 120 cm</t>
  </si>
  <si>
    <t>396-U1572A-40R-1-A, 112 cm</t>
  </si>
  <si>
    <t>396-U1572A-40R-2-A, 119 cm</t>
  </si>
  <si>
    <t>396-U1572A-40R-3-A, 96 cm</t>
  </si>
  <si>
    <t>396-U1572A-41R-1-A, 101 cm</t>
  </si>
  <si>
    <t>396-U1572A-41R-2-A, 64 cm</t>
  </si>
  <si>
    <t>396-U1572A-41R-3-A, 102 cm</t>
  </si>
  <si>
    <t>396-U1572A-41R-3-A, 115 cm</t>
  </si>
  <si>
    <t>396-U1572A-42R-1-A, 57 cm</t>
  </si>
  <si>
    <t>396-U1572A-42R-2-A, 80 cm</t>
  </si>
  <si>
    <t>396-U1572A-42R-3-A, 20 cm</t>
  </si>
  <si>
    <t>396-U1572A-42R-4-A, 64 cm</t>
  </si>
  <si>
    <t>396-U1572A-43R-1-A, 66 cm</t>
  </si>
  <si>
    <t>396-U1572A-43R-2-A, 45 cm</t>
  </si>
  <si>
    <t>396-U1572A-43R-3-A, 99 cm</t>
  </si>
  <si>
    <t>396-U1572A-43R-4-A, 35 cm</t>
  </si>
  <si>
    <t>396-U1572A-44R-1-A, 24 cm</t>
  </si>
  <si>
    <t>396-U1572A-44R-2-A, 132 cm</t>
  </si>
  <si>
    <t>396-U1572A-44R-3-A, 112 cm</t>
  </si>
  <si>
    <t>396-U1572A-44R-4-A, 96 cm</t>
  </si>
  <si>
    <t>396-U1572A-45R-1-A, 118 cm</t>
  </si>
  <si>
    <t>396-U1572A-45R-2-A, 42 cm</t>
  </si>
  <si>
    <t>396-U1572A-45R-3-A, 67 cm</t>
  </si>
  <si>
    <t>396-U1572A-45R-4-A, 80 cm</t>
  </si>
  <si>
    <t>396-U1572A-45R-5-A, 19 cm</t>
  </si>
  <si>
    <t>396-U1572A-46R-1-A, 66 cm</t>
  </si>
  <si>
    <t>396-U1572A-46R-2-A, 115 cm</t>
  </si>
  <si>
    <t>396-U1572A-46R-3-A, 142 cm</t>
  </si>
  <si>
    <t>396-U1572A-46R-4-A, 39 cm</t>
  </si>
  <si>
    <t>basaltic andesite</t>
  </si>
  <si>
    <t>U1572A-23R-1-A, 37</t>
  </si>
  <si>
    <t>U1572A-23R-1-A, 77</t>
  </si>
  <si>
    <t>U1572A-23R-1-A, 105</t>
  </si>
  <si>
    <t>U1572A-23R-2-A, 51</t>
  </si>
  <si>
    <t>U1572A-23R-3-A, 45</t>
  </si>
  <si>
    <t>U1572A-24R-1-A, 36</t>
  </si>
  <si>
    <t>U1572A-24R-2-A, 60</t>
  </si>
  <si>
    <t>U1572A-24R-3-A, 84</t>
  </si>
  <si>
    <t>U1572A-24R-4-A, 48</t>
  </si>
  <si>
    <t>U1572A-25R-1-A, 30</t>
  </si>
  <si>
    <t>U1572A-25R-2-A, 35</t>
  </si>
  <si>
    <t>U1572A-25R-3-A, 107</t>
  </si>
  <si>
    <t>U1572A-25R-4-A, 85</t>
  </si>
  <si>
    <t>U1572A-25R-5-A, 5</t>
  </si>
  <si>
    <t>U1572A-26R-1-A, 21</t>
  </si>
  <si>
    <t>U1572A-26R-2-A, 62</t>
  </si>
  <si>
    <t>U1572A-26R-3-A, 56</t>
  </si>
  <si>
    <t>U1572A-26R-4-A, 70</t>
  </si>
  <si>
    <t>U1572A-26R-4-A, 85</t>
  </si>
  <si>
    <t>U1572A-27R-1-A, 80</t>
  </si>
  <si>
    <t>U1572A-27R-2-A, 69</t>
  </si>
  <si>
    <t>U1572A-28R-1-A, 3</t>
  </si>
  <si>
    <t>U1572A-29R-1-A, 94</t>
  </si>
  <si>
    <t>U1572A-29R-2-A, 85</t>
  </si>
  <si>
    <t>U1572A-29R-3-A, 35</t>
  </si>
  <si>
    <t>U1572A-30R-2-A, 65</t>
  </si>
  <si>
    <t>U1572A-31R-1-A, 15</t>
  </si>
  <si>
    <t>U1572A-31R-1-A, 139</t>
  </si>
  <si>
    <t>U1572A-31R-2-A, 67</t>
  </si>
  <si>
    <t>U1572A-31R-3-A, 105</t>
  </si>
  <si>
    <t>U1572A-32R-1-A, 71</t>
  </si>
  <si>
    <t>U1572A-32R-2-A, 35</t>
  </si>
  <si>
    <t>U1572A-32R-3-A, 54</t>
  </si>
  <si>
    <t>U1572A-32R-4-A, 55</t>
  </si>
  <si>
    <t>U1572A-33R-1-A, 14</t>
  </si>
  <si>
    <t>U1572A-33R-2-A, 76</t>
  </si>
  <si>
    <t>U1572A-33R-3-A, 82</t>
  </si>
  <si>
    <t>U1572A-33R-4-A, 101</t>
  </si>
  <si>
    <t>U1572A-33R-5-A, 11</t>
  </si>
  <si>
    <t>U1572A-34R-1-A, 73</t>
  </si>
  <si>
    <t>U1572A-34R-2-A, 55</t>
  </si>
  <si>
    <t>U1572A-34R-3-A, 66</t>
  </si>
  <si>
    <t>U1572A-34R-4-A, 19</t>
  </si>
  <si>
    <t>U1572A-35R-1-A, 45</t>
  </si>
  <si>
    <t>U1572A-35R-2-A, 80</t>
  </si>
  <si>
    <t>U1572A-35R-3-A, 84</t>
  </si>
  <si>
    <t>U1572A-36R-1-A, 35</t>
  </si>
  <si>
    <t>U1572A-36R-2-A, 38</t>
  </si>
  <si>
    <t>U1572A-36R-3-A, 24</t>
  </si>
  <si>
    <t>U1572A-37R-1-A, 6</t>
  </si>
  <si>
    <t>U1572A-37R-2-A, 86</t>
  </si>
  <si>
    <t>U1572A-37R-3-A, 116</t>
  </si>
  <si>
    <t>U1572A-38R-1-A, 107</t>
  </si>
  <si>
    <t>U1572A-38R-2-A, 147</t>
  </si>
  <si>
    <t>U1572A-38R-3-A, 88</t>
  </si>
  <si>
    <t>U1572A-38R-4-A, 17</t>
  </si>
  <si>
    <t>U1572A-39R-1-A, 63</t>
  </si>
  <si>
    <t>U1572A-39R-2-A, 89</t>
  </si>
  <si>
    <t>U1572A-39R-3-A, 103</t>
  </si>
  <si>
    <t>U1572A-39R-3-A, 120</t>
  </si>
  <si>
    <t>U1572A-40R-1-A, 112</t>
  </si>
  <si>
    <t>U1572A-40R-2-A, 119</t>
  </si>
  <si>
    <t>U1572A-40R-3-A, 96</t>
  </si>
  <si>
    <t>U1572A-41R-1-A, 101</t>
  </si>
  <si>
    <t>U1572A-41R-2-A, 64</t>
  </si>
  <si>
    <t>U1572A-41R-3-A, 102</t>
  </si>
  <si>
    <t>U1572A-41R-3-A, 115</t>
  </si>
  <si>
    <t>U1572A-42R-1-A, 57</t>
  </si>
  <si>
    <t>U1572A-42R-2-A, 80</t>
  </si>
  <si>
    <t>U1572A-42R-3-A, 20</t>
  </si>
  <si>
    <t>U1572A-42R-4-A, 64</t>
  </si>
  <si>
    <t>U1572A-43R-1-A, 66</t>
  </si>
  <si>
    <t>U1572A-43R-2-A, 45</t>
  </si>
  <si>
    <t>U1572A-43R-3-A, 99</t>
  </si>
  <si>
    <t>U1572A-43R-4-A, 35</t>
  </si>
  <si>
    <t>U1572A-44R-1-A, 24</t>
  </si>
  <si>
    <t>U1572A-44R-2-A, 132</t>
  </si>
  <si>
    <t>U1572A-44R-3-A, 112</t>
  </si>
  <si>
    <t>U1572A-44R-4-A, 96</t>
  </si>
  <si>
    <t>U1572A-45R-1-A, 118</t>
  </si>
  <si>
    <t>U1572A-45R-2-A, 42</t>
  </si>
  <si>
    <t>U1572A-45R-3-A, 67</t>
  </si>
  <si>
    <t>U1572A-45R-4-A, 80</t>
  </si>
  <si>
    <t>U1572A-45R-5-A, 19</t>
  </si>
  <si>
    <t>U1572A-46R-1-A, 66</t>
  </si>
  <si>
    <t>U1572A-46R-2-A, 115</t>
  </si>
  <si>
    <t>U1572A-46R-3-A, 142</t>
  </si>
  <si>
    <t>U1572A-46R-4-A, 39</t>
  </si>
  <si>
    <t>396-U1573A-10R-4-A, 40 cm</t>
  </si>
  <si>
    <t>396-U1573A-10R-4-A, 71 cm</t>
  </si>
  <si>
    <t>396-U1573A-10R-4-A, 107 cm</t>
  </si>
  <si>
    <t>396-U1573A-10R-5-A, 11 cm</t>
  </si>
  <si>
    <t>396-U1573A-10R-5-A, 54 cm</t>
  </si>
  <si>
    <t>396-U1573A-11R-1-A, 55 cm</t>
  </si>
  <si>
    <t>396-U1573A-11R-1-A, 127 cm</t>
  </si>
  <si>
    <t>396-U1573A-11R-2-A, 39 cm</t>
  </si>
  <si>
    <t>396-U1573A-12R-1-A, 99 cm</t>
  </si>
  <si>
    <t>396-U1573A-12R-2-A, 3 cm</t>
  </si>
  <si>
    <t>396-U1573A-12R-3-A, 15 cm</t>
  </si>
  <si>
    <t>396-U1573A-13R-1-A, 29 cm</t>
  </si>
  <si>
    <t>396-U1573A-13R-1-A, 134 cm</t>
  </si>
  <si>
    <t>396-U1573A-13R-2-A, 48 cm</t>
  </si>
  <si>
    <t>396-U1573A-13R-3-A, 86 cm</t>
  </si>
  <si>
    <t>396-U1573A-13R-4-A, 39 cm</t>
  </si>
  <si>
    <t>396-U1573A-13R-5-A, 6 cm</t>
  </si>
  <si>
    <t>396-U1573A-14R-1-A, 36 cm</t>
  </si>
  <si>
    <t>396-U1573A-14R-2-A, 77 cm</t>
  </si>
  <si>
    <t>396-U1573A-15R-1-A, 19 cm</t>
  </si>
  <si>
    <t>396-U1573A-15R-1-A, 53 cm</t>
  </si>
  <si>
    <t>396-U1573A-15R-1-A, 93 cm</t>
  </si>
  <si>
    <t>396-U1573A-15R-2-A, 36 cm</t>
  </si>
  <si>
    <t>396-U1573A-15R-2-A, 88 cm</t>
  </si>
  <si>
    <t>396-U1573A-15R-2-A, 142 cm</t>
  </si>
  <si>
    <t>396-U1573A-15R-3-A, 16 cm</t>
  </si>
  <si>
    <t>396-U1573A-16R-1-A, 71 cm</t>
  </si>
  <si>
    <t>396-U1573A-17R-1-A, 47 cm</t>
  </si>
  <si>
    <t>396-U1573A-17R-1-A, 72 cm</t>
  </si>
  <si>
    <t>396-U1573A-17R-2-A, 17 cm</t>
  </si>
  <si>
    <t>396-U1573A-17R-2-A, 100 cm</t>
  </si>
  <si>
    <t>396-U1573A-18R-2-A, 17 cm</t>
  </si>
  <si>
    <t>396-U1573A-18R-2-A, 78 cm</t>
  </si>
  <si>
    <t>396-U1573A-18R-2-A, 135 cm</t>
  </si>
  <si>
    <t>396-U1573A-19R-1-A, 50 cm</t>
  </si>
  <si>
    <t>396-U1573A-19R-1-A, 37 cm</t>
  </si>
  <si>
    <t>U1573A-10R-4-A, 40</t>
  </si>
  <si>
    <t>U1573A-10R-4-A, 71</t>
  </si>
  <si>
    <t>U1573A-10R-4-A, 107</t>
  </si>
  <si>
    <t>U1573A-10R-5-A, 11</t>
  </si>
  <si>
    <t>U1573A-10R-5-A, 54</t>
  </si>
  <si>
    <t>U1573A-11R-1-A, 55</t>
  </si>
  <si>
    <t>U1573A-11R-1-A, 127</t>
  </si>
  <si>
    <t>U1573A-11R-2-A, 39</t>
  </si>
  <si>
    <t>U1573A-12R-1-A, 99</t>
  </si>
  <si>
    <t>U1573A-12R-2-A, 3</t>
  </si>
  <si>
    <t>U1573A-12R-3-A, 15</t>
  </si>
  <si>
    <t>U1573A-13R-1-A, 29</t>
  </si>
  <si>
    <t>U1573A-13R-1-A, 134</t>
  </si>
  <si>
    <t>U1573A-13R-2-A, 48</t>
  </si>
  <si>
    <t>U1573A-13R-3-A, 86</t>
  </si>
  <si>
    <t>U1573A-13R-4-A, 39</t>
  </si>
  <si>
    <t>U1573A-13R-5-A, 6</t>
  </si>
  <si>
    <t>U1573A-14R-1-A, 36</t>
  </si>
  <si>
    <t>U1573A-14R-2-A, 77</t>
  </si>
  <si>
    <t>U1573A-15R-1-A, 19</t>
  </si>
  <si>
    <t>U1573A-15R-1-A, 53</t>
  </si>
  <si>
    <t>U1573A-15R-1-A, 93</t>
  </si>
  <si>
    <t>U1573A-15R-2-A, 36</t>
  </si>
  <si>
    <t>U1573A-15R-2-A, 88</t>
  </si>
  <si>
    <t>U1573A-15R-2-A, 142</t>
  </si>
  <si>
    <t>U1573A-15R-3-A, 16</t>
  </si>
  <si>
    <t>U1573A-16R-1-A, 71</t>
  </si>
  <si>
    <t>U1573A-17R-1-A, 47</t>
  </si>
  <si>
    <t>U1573A-17R-1-A, 72</t>
  </si>
  <si>
    <t>U1573A-17R-2-A, 17</t>
  </si>
  <si>
    <t>U1573A-17R-2-A, 100</t>
  </si>
  <si>
    <t>U1573A-18R-2-A, 17</t>
  </si>
  <si>
    <t>U1573A-18R-2-A, 78</t>
  </si>
  <si>
    <t>U1573A-18R-2-A, 135</t>
  </si>
  <si>
    <t>U1573A-19R-1-A, 50</t>
  </si>
  <si>
    <t>U1573A-19R-1-A, 37</t>
  </si>
  <si>
    <t>396-U1574A-19R-1-A, 100 cm</t>
  </si>
  <si>
    <t>396-U1574A-19R-1-A, 123 cm</t>
  </si>
  <si>
    <t>396-U1574A-19R-2-A, 117 cm</t>
  </si>
  <si>
    <t>396-U1574A-19R-3-A, 36 cm</t>
  </si>
  <si>
    <t>396-U1574A-20R-1-A, 41 cm</t>
  </si>
  <si>
    <t>396-U1574A-20R-2-A, 56 cm</t>
  </si>
  <si>
    <t>396-U1574A-21R-1-A, 70 cm</t>
  </si>
  <si>
    <t>396-U1574A-21R-2-A, 36 cm</t>
  </si>
  <si>
    <t>396-U1574A-22R-1-A, 118 cm</t>
  </si>
  <si>
    <t>396-U1574A-22R-2-A, 55 cm</t>
  </si>
  <si>
    <t>396-U1574A-22R-3-A, 92 cm</t>
  </si>
  <si>
    <t>396-U1574A-22R-4-A, 88 cm</t>
  </si>
  <si>
    <t>396-U1574A-23R-1-A, 69 cm</t>
  </si>
  <si>
    <t>396-U1574A-23R-2-A, 57 cm</t>
  </si>
  <si>
    <t>396-U1574A-23R-3-A, 53 cm</t>
  </si>
  <si>
    <t>396-U1574A-24R-1-A, 80 cm</t>
  </si>
  <si>
    <t>396-U1574A-24R-2-A, 78 cm</t>
  </si>
  <si>
    <t>396-U1574A-24R-3-A, 143 cm</t>
  </si>
  <si>
    <t>396-U1574A-24R-4-A, 75 cm</t>
  </si>
  <si>
    <t>396-U1574A-25R-1-A, 50 cm</t>
  </si>
  <si>
    <t>396-U1574A-25R-3-A, 3 cm</t>
  </si>
  <si>
    <t>396-U1574A-26R-1-A, 103 cm</t>
  </si>
  <si>
    <t>396-U1574A-27R-1-A, 10 cm</t>
  </si>
  <si>
    <t>396-U1574A-27R-2-A, 54 cm</t>
  </si>
  <si>
    <t>396-U1574A-27R-3-A, 55 cm</t>
  </si>
  <si>
    <t>396-U1574A-27R-4-A, 34 cm</t>
  </si>
  <si>
    <t>396-U1574A-28R-1-A, 85 cm</t>
  </si>
  <si>
    <t>396-U1574A-28R-2-A, 49 cm</t>
  </si>
  <si>
    <t>396-U1574A-28R-3-A, 40 cm</t>
  </si>
  <si>
    <t>396-U1574A-29R-1-A, 81 cm</t>
  </si>
  <si>
    <t>396-U1574A-29R-2-A, 50 cm</t>
  </si>
  <si>
    <t>396-U1574A-29R-3-A, 102 cm</t>
  </si>
  <si>
    <t>396-U1574A-35R-1-A, 128 cm</t>
  </si>
  <si>
    <t>396-U1574A-35R-2-A, 99 cm</t>
  </si>
  <si>
    <t>396-U1574A-35R-3-A, 44 cm</t>
  </si>
  <si>
    <t>396-U1574A-35R-4-A, 74 cm</t>
  </si>
  <si>
    <t>U1574A-19R-1-A, 100</t>
  </si>
  <si>
    <t>U1574A-19R-1-A, 123</t>
  </si>
  <si>
    <t>U1574A-19R-2-A, 117</t>
  </si>
  <si>
    <t>U1574A-19R-3-A, 36</t>
  </si>
  <si>
    <t>U1574A-20R-1-A, 41</t>
  </si>
  <si>
    <t>U1574A-20R-2-A, 56</t>
  </si>
  <si>
    <t>U1574A-21R-1-A, 70</t>
  </si>
  <si>
    <t>U1574A-21R-2-A, 36</t>
  </si>
  <si>
    <t>U1574A-22R-1-A, 118</t>
  </si>
  <si>
    <t>U1574A-22R-2-A, 55</t>
  </si>
  <si>
    <t>U1574A-22R-3-A, 92</t>
  </si>
  <si>
    <t>U1574A-22R-4-A, 88</t>
  </si>
  <si>
    <t>U1574A-23R-1-A, 69</t>
  </si>
  <si>
    <t>U1574A-23R-2-A, 57</t>
  </si>
  <si>
    <t>U1574A-23R-3-A, 53</t>
  </si>
  <si>
    <t>U1574A-24R-1-A, 80</t>
  </si>
  <si>
    <t>U1574A-24R-2-A, 78</t>
  </si>
  <si>
    <t>U1574A-24R-3-A, 143</t>
  </si>
  <si>
    <t>U1574A-24R-4-A, 75</t>
  </si>
  <si>
    <t>U1574A-25R-1-A, 50</t>
  </si>
  <si>
    <t>U1574A-25R-3-A, 3</t>
  </si>
  <si>
    <t>U1574A-26R-1-A, 103</t>
  </si>
  <si>
    <t>U1574A-27R-1-A, 10</t>
  </si>
  <si>
    <t>U1574A-27R-2-A, 54</t>
  </si>
  <si>
    <t>U1574A-27R-3-A, 55</t>
  </si>
  <si>
    <t>U1574A-27R-4-A, 34</t>
  </si>
  <si>
    <t>U1574A-28R-1-A, 85</t>
  </si>
  <si>
    <t>U1574A-28R-2-A, 49</t>
  </si>
  <si>
    <t>U1574A-28R-3-A, 40</t>
  </si>
  <si>
    <t>U1574A-29R-1-A, 81</t>
  </si>
  <si>
    <t>U1574A-29R-2-A, 50</t>
  </si>
  <si>
    <t>U1574A-29R-3-A, 102</t>
  </si>
  <si>
    <t>U1574A-35R-1-A, 128</t>
  </si>
  <si>
    <t>U1574A-35R-2-A, 99</t>
  </si>
  <si>
    <t>U1574A-35R-3-A, 44</t>
  </si>
  <si>
    <t>U1574A-35R-4-A, 74</t>
  </si>
  <si>
    <t>396-U1574A-36R-1-A, 62 cm</t>
  </si>
  <si>
    <t>396-U1574A-36R-2-A, 53 cm</t>
  </si>
  <si>
    <t>396-U1574A-36R-3-A, 117 cm</t>
  </si>
  <si>
    <t>396-U1574A-37R-1-A, 117 cm</t>
  </si>
  <si>
    <t>396-U1574A-37R-1-A, 106 cm</t>
  </si>
  <si>
    <t>396-U1574A-37R-2-A, 66 cm</t>
  </si>
  <si>
    <t>396-U1574A-37R-3-A, 71 cm</t>
  </si>
  <si>
    <t>396-U1574A-37R-4-A, 90 cm</t>
  </si>
  <si>
    <t>396-U1574A-38R-1-A, 64 cm</t>
  </si>
  <si>
    <t>396-U1574A-38R-2-A, 118 cm</t>
  </si>
  <si>
    <t>396-U1574A-38R-3-A, 90 cm</t>
  </si>
  <si>
    <t>U1574A-36R-1-A, 62</t>
  </si>
  <si>
    <t>U1574A-36R-2-A, 53</t>
  </si>
  <si>
    <t>U1574A-36R-3-A, 117</t>
  </si>
  <si>
    <t>U1574A-37R-1-A, 117</t>
  </si>
  <si>
    <t>U1574A-37R-1-A, 106</t>
  </si>
  <si>
    <t>U1574A-37R-2-A, 66</t>
  </si>
  <si>
    <t>U1574A-37R-3-A, 71</t>
  </si>
  <si>
    <t>U1574A-37R-4-A, 90</t>
  </si>
  <si>
    <t>U1574A-38R-1-A, 64</t>
  </si>
  <si>
    <t>U1574A-38R-2-A, 118</t>
  </si>
  <si>
    <t>U1574A-38R-3-A, 90</t>
  </si>
  <si>
    <t>BIR-1</t>
  </si>
  <si>
    <t>RGM-1</t>
  </si>
  <si>
    <t>JB-2</t>
  </si>
  <si>
    <t>W-2a</t>
  </si>
  <si>
    <t>BCR-2</t>
  </si>
  <si>
    <t>to be submitted</t>
  </si>
  <si>
    <t>Scientific Data</t>
  </si>
  <si>
    <t>Lambart, S.</t>
  </si>
  <si>
    <t>sarah.lambart@utah.edu</t>
  </si>
  <si>
    <t xml:space="preserve">Evolution of the source mineralogy and lithospheric controls on magmatism during the Northeast Atlantic continental breakup. </t>
  </si>
  <si>
    <t xml:space="preserve">under review </t>
  </si>
  <si>
    <t>Geochemistry, Geophysics, Geosystems</t>
  </si>
  <si>
    <t>Cunningham E.H., Lambart S., Guo P., Chatterjee S., Tegner C., Hartley A., Morris. A. M., Planke S., Berndt C., Alvarez Zarikian C., Freeling J., Betlem P., Brinkhuis H., Christopoulou M., Ferre E., Filina I., Harper D., Jones M.T., Longman J., Millet J.M., Mohn G.T.F, Scherer R.P., Varela N., Xu W., Yager S.L.</t>
  </si>
  <si>
    <t>396-U1567C-11X-3, 45-46 cm</t>
  </si>
  <si>
    <t>396-U1567A-7F-1, 70-75 cm</t>
  </si>
  <si>
    <t>396-U1568A-11X-3, 10-14 cm</t>
  </si>
  <si>
    <t>396-U1568A-14X-4, 99-100 cm</t>
  </si>
  <si>
    <t>396-U1567C-9X-CC, 38-40 cm</t>
  </si>
  <si>
    <t>396-U1568B-9X-3, 19-21 cm</t>
  </si>
  <si>
    <t>396-U1569A-28R-2, 74-76 cm</t>
  </si>
  <si>
    <t>396-U1570D-7R-1, 106-109 cm</t>
  </si>
  <si>
    <t>396-U1570D-12R-2, 8-10 cm</t>
  </si>
  <si>
    <t>U1567</t>
  </si>
  <si>
    <t>U1568</t>
  </si>
  <si>
    <t>U1569</t>
  </si>
  <si>
    <t>U1570</t>
  </si>
  <si>
    <t>396-U1567A-7F-1</t>
  </si>
  <si>
    <t>396-U1567C-11X-3</t>
  </si>
  <si>
    <t>396-U1568A-11X-3</t>
  </si>
  <si>
    <t>396-U1568B-13X-2</t>
  </si>
  <si>
    <t>396-U1568A-14X-4</t>
  </si>
  <si>
    <t>396-U1567C-9X-CC</t>
  </si>
  <si>
    <t>396-U1567C-5X-2</t>
  </si>
  <si>
    <t>396-U1568B-9X-3</t>
  </si>
  <si>
    <t>396-U1569A-23R-2</t>
  </si>
  <si>
    <t>396-U1569A-28R-2</t>
  </si>
  <si>
    <t>396-U1569A-25R-1</t>
  </si>
  <si>
    <t>396-U1570D-7R-1</t>
  </si>
  <si>
    <t>396-U1570D-12R-2</t>
  </si>
  <si>
    <t>tephra</t>
  </si>
  <si>
    <t>As</t>
  </si>
  <si>
    <t>Mo</t>
  </si>
  <si>
    <t>Ag</t>
  </si>
  <si>
    <t>In</t>
  </si>
  <si>
    <t>Sb</t>
  </si>
  <si>
    <t>Bi</t>
  </si>
  <si>
    <t>Tl</t>
  </si>
  <si>
    <t>Sarah Lambart, Geoffroy Mohn</t>
  </si>
  <si>
    <r>
      <t>R</t>
    </r>
    <r>
      <rPr>
        <vertAlign val="superscript"/>
        <sz val="12"/>
        <rFont val="Arial"/>
        <family val="2"/>
      </rPr>
      <t>2</t>
    </r>
  </si>
  <si>
    <t>relative derivation (%)</t>
  </si>
  <si>
    <t>Georem-prefered value</t>
  </si>
  <si>
    <t>USGS</t>
  </si>
  <si>
    <t>7,9</t>
  </si>
  <si>
    <t>Related Publication #3</t>
  </si>
  <si>
    <t>Recommendations on using core XRF data on basaltic cores as a tool to assess the compositional variability</t>
  </si>
  <si>
    <t>Scientific Drilling</t>
  </si>
  <si>
    <t>396-U1566A-32R-3, 78-81 cm</t>
  </si>
  <si>
    <t>U1566A-32R-1</t>
  </si>
  <si>
    <t>U1566A-32R-3a</t>
  </si>
  <si>
    <t>U1566A-32R-3b</t>
  </si>
  <si>
    <t>U1566A-32R-3c</t>
  </si>
  <si>
    <t>2s on accepted value</t>
  </si>
  <si>
    <t>Fusion ICP</t>
  </si>
  <si>
    <t>Actlabs</t>
  </si>
  <si>
    <t>%</t>
  </si>
  <si>
    <t>ppm</t>
  </si>
  <si>
    <t>Related Publication #4</t>
  </si>
  <si>
    <t>Constraining the magma source and temporal evolution of the North Atlantic Igneous Province near- to far-field ash record</t>
  </si>
  <si>
    <t>Stokke, E.W., Tegner, C., Millett, J.M., Nicholson, E., Longman, J., Bali, E., Guo, P., Lambart, S., Svensen, H.H., Planke, S., Jones, M.T.</t>
  </si>
  <si>
    <t>EPSL</t>
  </si>
  <si>
    <t>396-U1567C-5X-2, 113-115cm</t>
  </si>
  <si>
    <t>396-U1568B-13X-2, 6-7cm</t>
  </si>
  <si>
    <t>396-U1569A-23R-2, 20-22cm</t>
  </si>
  <si>
    <t>396-U1569A-25R-1, 13-15cm</t>
  </si>
  <si>
    <t>Related Publication #5</t>
  </si>
  <si>
    <t xml:space="preserve">Tegner, C., Guo, P., Chatterjee, S., Lambart, S., Jones, M. T., Planke, S., Neumann, E. R., Svensen, H. H., Lesher, C. E., Cashman, K., Takahashi, T., Cunningham, E. H., Morris, A. M., Stokke, E. W., Millett, J. M., Mohn, G. T. F., Longman, J., Berndt, C., Zarikian, C. A. A., Betlem, P., Brinkhuis, H., Christopoulou, M., Ferré, E., Filina, I. Y., Frieling, J., Harper, D. T., Scherer, R. P., Varela, N., Xu, W. &amp; Yager, S. L. </t>
  </si>
  <si>
    <t>Expert dataset: A whole rock geochemical dataset for magmatic rocks drilled on the mid-Norwegian margin.</t>
  </si>
  <si>
    <t>New geochemical analyses on samples drilled on the mid-Norwegian margin during IODP Expedition 396, ODP Leg 104 and DSDP Leg 38</t>
  </si>
  <si>
    <t xml:space="preserve">New major and trace element data on samples collected during the IODP (International Ocean Discovery Program) Expedition 396, ODP (Ocean Drilling Program) Leg 104, and DSDP (Deep Sea Drilling Project) Leg 38 on the mid-Norwegian margin, including 209 whole rocks analyses on hard rock samples (basalt, granite, andesite, dacite and rhyolite), 13 whole rock data on ash layers, and 381 in situ pXRF analyses on basaltic rocks. </t>
  </si>
  <si>
    <t>Publisher</t>
  </si>
  <si>
    <t>GFZ Data Services</t>
  </si>
  <si>
    <t>https://doi.org/10.5880/digis.2025.011</t>
  </si>
  <si>
    <t>Creator of data table</t>
  </si>
  <si>
    <t>Data Citation</t>
  </si>
  <si>
    <t>please cite the data as</t>
  </si>
  <si>
    <t>Pubilsher</t>
  </si>
  <si>
    <t>https://doi.org/10.5880/digis.e.2025.005</t>
  </si>
  <si>
    <t>Related Publication #2 (data publication)</t>
  </si>
  <si>
    <t>https://doi.org/10.1029/2025GC012556</t>
  </si>
  <si>
    <t>https://doi.org/10.5194/sd-35-21-2026</t>
  </si>
  <si>
    <t xml:space="preserve">Tegner C.1,  Guo P.2 , Chatterjee S.3, Lambart S.4, Jones M.T.5, Planke S.6,7, Neumann E.R.7, Svensen H.H.7, Lesher C.E.1, Cashman K.8,  Takahashi T.9, Cunningham E.H.4, Morris A.M.4, Stokke E.W.5,  Millet J.M.6,10, Mohn G.T.F.11, Longman J.12, Berndt C.13, Alvarez C.A.14,  Betlem P.7 ,  Brinkhuis H.15, Christopoulou M.16, Ferré E.C.C.C.17, Filina I.18, Frieling J.19, Harper D.T.4, Scherer R.P.19, Varela N.20, Xu W.22, Yager S.L. 23
</t>
  </si>
  <si>
    <t xml:space="preserve">Morris A.M., Lambart S., Alvarez Zarikian C., Berndt C., Betlem P., Brinkhuis H., Chatterjee S., Christopoulou M., Ferré E.C.C.C., Filina I., Frieling J., Harper D.T., Jones M.T., Longman J., Millett J.M., Mohn G.T.F, Planke S., Scherer R.P., Varela N., Xu W., &amp; Yager S.L. </t>
  </si>
  <si>
    <t xml:space="preserve">Tegner C.1,  Guo P.2 , Chatterjee S.3, Lambart S.4, Jones M.T.5,6 Planke S.6,7, Neumann E.R.7, Svensen H.H.7, Lesher C.E.8, Cashman K.9,  Takahashi T.10, Cunningham E.H.4, Morris A.M.4, Stokke E.W.6,  Millet J.M.6,11, Mohn G.T.F.12, Longman J.13, Berndt C.14, Alvarez C.A. 15,  Betlem P.7 ,  Brinkhuis H.16, Christopoulou M.17, Ferré E.C.C.18, Filina I.19, Frieling J.20, Harper D.T.4, Scherer R.P.21, Varela N.22, Xu W.23, Yager S.L. 24
</t>
  </si>
  <si>
    <t>Tegner C., Guo P., Chatterjee S., Lambart S., Jones M.T., Planke S., Neumann E.R., Svensen H.H., Lesher C.E., Cashman K., Takahashi T., Cunningham E.H., Morris A.M., Stokke E.W., Millet J.M., Mohn G.T.F., Longman J., Berndt C., Alvarez Zarikian C.A., Betlem P., Brinkhuis H., Christopoulou M., Ferré E.C.C., Filina I., Frieling J., Harper D.T., Scherer R.P., Varela N., Xu W., Yager S.L. (2025) New geochemical analyses on samples drilled on the mid-Norwegian margin during IODP Expedition 396, ODP Leg 104 and DSDP Leg 38. GFZ Data Services, https://doi.org/10.5880/digis.2025.011</t>
  </si>
  <si>
    <t>1 Department of Geoscience, Aarhus University, Aarhus, Denmark
2 Institute of Oceanology, Chinese Academy of Sciences, Qingdao, China
3 Earthquake Research Institute, The University of Tokyo, Bunkyō, Tokyo, Japan
4 Department of Geology and Geophysics, University of Utah, Salt Lake City, UT, USA
5 Department of Ecology, Environment and Geoscience, Umeå University, Umeå, Sweden
6 Department of Geosciences, University of Oslo, Oslo, Norway
7 Norwegian Geotechnical Institute, Oslo, Norway AND The University Centre in Svalbard, Longyearbyen, Norway
8 Department of Earth and Planetary Sciences, University of California, Davis, CA 95616, USA
9 Department of Earth Sciences, University of Oregon, Eugene, OR 97403-1272, USA
10 Niigata University, Japan.
11 Department of Geology and Geophysics, University of Aberdeen, King’s College, Aberdeen, UK
12 Laboratoire Géosciences et Environnement Cergy, CY Cergy Paris Université, Cergy, France
13 School of Geography and Natural Sciences, Northumbria University, Newcastle Upon Tyne, UK
14 GEOMAR Helmholtz Centre for Ocean Research Kiel, Kiel, Germany
15 Scientific Ocean Drilling Coordination Office, Texas A&amp;M University, USA
16 NIOZ Royal Netherlands Institute for Sea Research, Den Burg, Texel, Netherlands 
17 Sea-Bird Scientific, Bellevue, WA, USA
18 Department of Geological Sciences, New Mexico State University, Las Cruces, NM, USA
19 Department of Earth and Atmospheric Sciences, University of Nebraska, Lincoln, NE, USA
20 Department of Earth Sciences, University of Oxford, Oxford, UK
21 Department of Earth, Atmosphere and Environment, Northern Illinois University, DeKalb, IL, USA
22 Department of Environmental Sciences, University of Virginia, Charlottesville, VA, USA
23 School of Earth Sciences and the Research Ireland Centre for Applied Geosciences, University College Dublin, Dublin, Ireland
24 Department of Earth and Environmental Sciences, Indiana University, Indianapolis, IN, USA</t>
  </si>
  <si>
    <t>A whole rock geochemical dataset for magmatic rocks drilled on the mid-Norwegian margin</t>
  </si>
  <si>
    <t>https://doi.org/10.1038/s41597-026-07073-x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</si>
</sst>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66">
    <font>
      <sz val="10"/>
      <name val="Verdana"/>
    </font>
    <font>
      <sz val="10"/>
      <name val="Verdana"/>
      <family val="2"/>
    </font>
    <font>
      <u/>
      <sz val="10"/>
      <color indexed="12"/>
      <name val="Verdana"/>
      <family val="2"/>
    </font>
    <font>
      <sz val="8"/>
      <name val="Verdana"/>
      <family val="2"/>
    </font>
    <font>
      <sz val="12"/>
      <color indexed="18"/>
      <name val="Arial"/>
      <family val="2"/>
    </font>
    <font>
      <sz val="10"/>
      <name val="Arial"/>
      <family val="2"/>
    </font>
    <font>
      <sz val="8"/>
      <name val="Times New Roman"/>
      <family val="1"/>
    </font>
    <font>
      <b/>
      <sz val="12"/>
      <color indexed="18"/>
      <name val="Arial"/>
      <family val="2"/>
    </font>
    <font>
      <b/>
      <sz val="12"/>
      <name val="Arial"/>
      <family val="2"/>
    </font>
    <font>
      <sz val="12"/>
      <name val="Arial"/>
      <family val="2"/>
    </font>
    <font>
      <b/>
      <sz val="12"/>
      <color indexed="10"/>
      <name val="Arial"/>
      <family val="2"/>
    </font>
    <font>
      <sz val="10"/>
      <color indexed="55"/>
      <name val="Arial"/>
      <family val="2"/>
    </font>
    <font>
      <b/>
      <sz val="14"/>
      <color indexed="10"/>
      <name val="Arial"/>
      <family val="2"/>
    </font>
    <font>
      <sz val="12"/>
      <color indexed="13"/>
      <name val="Arial"/>
      <family val="2"/>
    </font>
    <font>
      <sz val="12"/>
      <color indexed="55"/>
      <name val="Arial"/>
      <family val="2"/>
    </font>
    <font>
      <sz val="14"/>
      <name val="Arial"/>
      <family val="2"/>
    </font>
    <font>
      <b/>
      <sz val="14"/>
      <name val="Arial"/>
      <family val="2"/>
    </font>
    <font>
      <sz val="9"/>
      <name val="Arial"/>
      <family val="2"/>
    </font>
    <font>
      <sz val="9"/>
      <color indexed="55"/>
      <name val="Arial"/>
      <family val="2"/>
    </font>
    <font>
      <sz val="10"/>
      <name val="Verdana"/>
      <family val="2"/>
    </font>
    <font>
      <u/>
      <sz val="10"/>
      <color indexed="12"/>
      <name val="Verdana"/>
      <family val="2"/>
    </font>
    <font>
      <sz val="14"/>
      <color indexed="10"/>
      <name val="Arial"/>
      <family val="2"/>
    </font>
    <font>
      <b/>
      <sz val="12"/>
      <color theme="0"/>
      <name val="Arial"/>
      <family val="2"/>
    </font>
    <font>
      <sz val="10"/>
      <color theme="0"/>
      <name val="Arial"/>
      <family val="2"/>
    </font>
    <font>
      <b/>
      <sz val="12"/>
      <color rgb="FF660066"/>
      <name val="Arial"/>
      <family val="2"/>
    </font>
    <font>
      <sz val="12"/>
      <color theme="0"/>
      <name val="Arial"/>
      <family val="2"/>
    </font>
    <font>
      <b/>
      <sz val="12"/>
      <color rgb="FFFF0000"/>
      <name val="Arial"/>
      <family val="2"/>
    </font>
    <font>
      <sz val="10"/>
      <color theme="4" tint="-0.249977111117893"/>
      <name val="Arial"/>
      <family val="2"/>
    </font>
    <font>
      <sz val="12"/>
      <color theme="4" tint="-0.249977111117893"/>
      <name val="Arial"/>
      <family val="2"/>
    </font>
    <font>
      <b/>
      <sz val="14"/>
      <color theme="0"/>
      <name val="Arial"/>
      <family val="2"/>
    </font>
    <font>
      <sz val="14"/>
      <color theme="0"/>
      <name val="Arial"/>
      <family val="2"/>
    </font>
    <font>
      <u/>
      <sz val="10"/>
      <color theme="4" tint="-0.249977111117893"/>
      <name val="Arial"/>
      <family val="2"/>
    </font>
    <font>
      <b/>
      <sz val="16"/>
      <color theme="3" tint="-0.249977111117893"/>
      <name val="Arial"/>
      <family val="2"/>
    </font>
    <font>
      <b/>
      <sz val="14"/>
      <color rgb="FFFF0000"/>
      <name val="Arial"/>
      <family val="2"/>
    </font>
    <font>
      <sz val="12"/>
      <color theme="0" tint="-0.34998626667073579"/>
      <name val="Arial"/>
      <family val="2"/>
    </font>
    <font>
      <u/>
      <sz val="9"/>
      <color theme="4" tint="-0.249977111117893"/>
      <name val="Arial"/>
      <family val="2"/>
    </font>
    <font>
      <sz val="12"/>
      <color rgb="FF660066"/>
      <name val="Arial"/>
      <family val="2"/>
    </font>
    <font>
      <b/>
      <sz val="24"/>
      <color theme="4" tint="-0.249977111117893"/>
      <name val="Arial"/>
      <family val="2"/>
    </font>
    <font>
      <sz val="10"/>
      <color theme="0" tint="-0.14999847407452621"/>
      <name val="Arial"/>
      <family val="2"/>
    </font>
    <font>
      <sz val="12"/>
      <color theme="0" tint="-0.14999847407452621"/>
      <name val="Arial"/>
      <family val="2"/>
    </font>
    <font>
      <sz val="10"/>
      <color theme="3"/>
      <name val="Verdana"/>
      <family val="2"/>
    </font>
    <font>
      <u/>
      <sz val="10"/>
      <color rgb="FF0000D4"/>
      <name val="Verdana"/>
      <family val="2"/>
    </font>
    <font>
      <sz val="10"/>
      <color theme="1"/>
      <name val="Verdana"/>
      <family val="2"/>
    </font>
    <font>
      <b/>
      <sz val="24"/>
      <color theme="3"/>
      <name val="Verdana"/>
      <family val="2"/>
    </font>
    <font>
      <b/>
      <sz val="14"/>
      <color rgb="FFFF0000"/>
      <name val="Verdana"/>
      <family val="2"/>
    </font>
    <font>
      <sz val="14"/>
      <color indexed="10"/>
      <name val="Verdana"/>
      <family val="2"/>
    </font>
    <font>
      <b/>
      <sz val="14"/>
      <color indexed="10"/>
      <name val="Verdana"/>
      <family val="2"/>
    </font>
    <font>
      <b/>
      <sz val="24"/>
      <color indexed="12"/>
      <name val="Verdana"/>
      <family val="2"/>
    </font>
    <font>
      <b/>
      <sz val="12"/>
      <color theme="4" tint="-0.249977111117893"/>
      <name val="Verdana"/>
      <family val="2"/>
    </font>
    <font>
      <u/>
      <sz val="10"/>
      <color theme="4" tint="-0.249977111117893"/>
      <name val="Verdana"/>
      <family val="2"/>
    </font>
    <font>
      <sz val="12"/>
      <color theme="4" tint="-0.249977111117893"/>
      <name val="Verdana"/>
      <family val="2"/>
    </font>
    <font>
      <sz val="12"/>
      <color indexed="18"/>
      <name val="Verdana"/>
      <family val="2"/>
    </font>
    <font>
      <sz val="12"/>
      <color indexed="43"/>
      <name val="Verdana"/>
      <family val="2"/>
    </font>
    <font>
      <sz val="12"/>
      <color rgb="FFFFFF00"/>
      <name val="Verdana"/>
      <family val="2"/>
    </font>
    <font>
      <sz val="12"/>
      <color indexed="9"/>
      <name val="Verdana"/>
      <family val="2"/>
    </font>
    <font>
      <sz val="10"/>
      <color theme="4" tint="-0.249977111117893"/>
      <name val="Verdana"/>
      <family val="2"/>
    </font>
    <font>
      <u/>
      <sz val="12"/>
      <color theme="4" tint="-0.249977111117893"/>
      <name val="Verdana"/>
      <family val="2"/>
    </font>
    <font>
      <sz val="10"/>
      <color indexed="9"/>
      <name val="Verdana"/>
      <family val="2"/>
    </font>
    <font>
      <sz val="10"/>
      <color theme="0"/>
      <name val="Verdana"/>
      <family val="2"/>
    </font>
    <font>
      <b/>
      <sz val="12"/>
      <color indexed="9"/>
      <name val="Verdana"/>
      <family val="2"/>
    </font>
    <font>
      <sz val="9"/>
      <color theme="3"/>
      <name val="Verdana"/>
      <family val="2"/>
    </font>
    <font>
      <i/>
      <sz val="9"/>
      <color indexed="62"/>
      <name val="Verdana"/>
      <family val="2"/>
    </font>
    <font>
      <sz val="8"/>
      <name val="Arial"/>
      <family val="2"/>
    </font>
    <font>
      <vertAlign val="superscript"/>
      <sz val="12"/>
      <name val="Arial"/>
      <family val="2"/>
    </font>
    <font>
      <sz val="12"/>
      <name val="Calibri"/>
      <family val="2"/>
    </font>
    <font>
      <sz val="11"/>
      <name val="Aria#"/>
    </font>
  </fonts>
  <fills count="22">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499984740745262"/>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1"/>
        <bgColor indexed="64"/>
      </patternFill>
    </fill>
    <fill>
      <patternFill patternType="solid">
        <fgColor theme="3"/>
        <bgColor indexed="64"/>
      </patternFill>
    </fill>
    <fill>
      <patternFill patternType="solid">
        <fgColor theme="4" tint="0.39997558519241921"/>
        <bgColor indexed="64"/>
      </patternFill>
    </fill>
    <fill>
      <patternFill patternType="solid">
        <fgColor rgb="FFB8CCE4"/>
        <bgColor rgb="FF000000"/>
      </patternFill>
    </fill>
    <fill>
      <patternFill patternType="solid">
        <fgColor indexed="8"/>
        <bgColor indexed="64"/>
      </patternFill>
    </fill>
    <fill>
      <patternFill patternType="solid">
        <fgColor theme="0" tint="-0.499984740745262"/>
        <bgColor indexed="64"/>
      </patternFill>
    </fill>
  </fills>
  <borders count="12">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18"/>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s>
  <cellStyleXfs count="7">
    <xf numFmtId="0" fontId="0" fillId="0" borderId="0"/>
    <xf numFmtId="0" fontId="2"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9" fillId="0" borderId="0"/>
    <xf numFmtId="0" fontId="1" fillId="0" borderId="0"/>
    <xf numFmtId="0" fontId="1" fillId="0" borderId="0"/>
  </cellStyleXfs>
  <cellXfs count="166">
    <xf numFmtId="0" fontId="0" fillId="0" borderId="0" xfId="0"/>
    <xf numFmtId="0" fontId="5" fillId="0" borderId="0" xfId="0" applyFont="1"/>
    <xf numFmtId="0" fontId="22" fillId="4" borderId="0" xfId="0" applyFont="1" applyFill="1" applyAlignment="1">
      <alignment horizontal="left"/>
    </xf>
    <xf numFmtId="0" fontId="8" fillId="0" borderId="0" xfId="0" applyFont="1"/>
    <xf numFmtId="0" fontId="11" fillId="0" borderId="0" xfId="0" applyFont="1"/>
    <xf numFmtId="0" fontId="9" fillId="3" borderId="2" xfId="0" applyFont="1" applyFill="1" applyBorder="1"/>
    <xf numFmtId="0" fontId="9" fillId="3" borderId="2" xfId="0" applyFont="1" applyFill="1" applyBorder="1" applyAlignment="1">
      <alignment horizontal="center" vertical="center" wrapText="1"/>
    </xf>
    <xf numFmtId="0" fontId="15" fillId="0" borderId="0" xfId="0" applyFont="1"/>
    <xf numFmtId="0" fontId="9" fillId="0" borderId="0" xfId="0" applyFont="1"/>
    <xf numFmtId="0" fontId="9" fillId="5" borderId="3" xfId="0" applyFont="1" applyFill="1" applyBorder="1" applyAlignment="1">
      <alignment horizontal="center" vertical="center" wrapText="1"/>
    </xf>
    <xf numFmtId="0" fontId="15" fillId="3" borderId="4" xfId="0" applyFont="1" applyFill="1" applyBorder="1"/>
    <xf numFmtId="0" fontId="5" fillId="0" borderId="0" xfId="0" applyFont="1" applyAlignment="1">
      <alignment vertical="center"/>
    </xf>
    <xf numFmtId="0" fontId="5" fillId="6" borderId="0" xfId="0" applyFont="1" applyFill="1" applyAlignment="1">
      <alignment vertical="center"/>
    </xf>
    <xf numFmtId="0" fontId="10" fillId="6" borderId="0" xfId="0" applyFont="1" applyFill="1" applyAlignment="1">
      <alignment vertical="center"/>
    </xf>
    <xf numFmtId="0" fontId="16" fillId="6" borderId="0" xfId="0" applyFont="1" applyFill="1" applyAlignment="1">
      <alignment vertical="center"/>
    </xf>
    <xf numFmtId="0" fontId="12" fillId="6" borderId="0" xfId="0" applyFont="1" applyFill="1" applyAlignment="1">
      <alignment vertical="center"/>
    </xf>
    <xf numFmtId="0" fontId="18" fillId="0" borderId="0" xfId="0" applyFont="1" applyAlignment="1">
      <alignment horizontal="center"/>
    </xf>
    <xf numFmtId="49" fontId="5" fillId="6" borderId="0" xfId="0" applyNumberFormat="1" applyFont="1" applyFill="1" applyAlignment="1">
      <alignment vertical="center"/>
    </xf>
    <xf numFmtId="0" fontId="23" fillId="7" borderId="0" xfId="0" applyFont="1" applyFill="1" applyAlignment="1">
      <alignment horizontal="left"/>
    </xf>
    <xf numFmtId="0" fontId="23" fillId="8" borderId="0" xfId="0" applyFont="1" applyFill="1"/>
    <xf numFmtId="49" fontId="24" fillId="9" borderId="2" xfId="0" applyNumberFormat="1" applyFont="1" applyFill="1" applyBorder="1" applyAlignment="1">
      <alignment horizontal="center" vertical="center" wrapText="1"/>
    </xf>
    <xf numFmtId="49" fontId="7" fillId="10" borderId="2" xfId="0" applyNumberFormat="1" applyFont="1" applyFill="1" applyBorder="1" applyAlignment="1">
      <alignment horizontal="center" vertical="center" wrapText="1"/>
    </xf>
    <xf numFmtId="0" fontId="9" fillId="5" borderId="2" xfId="0" applyFont="1" applyFill="1" applyBorder="1"/>
    <xf numFmtId="49" fontId="17" fillId="9" borderId="2" xfId="0" applyNumberFormat="1" applyFont="1" applyFill="1" applyBorder="1" applyAlignment="1">
      <alignment horizontal="center" vertical="center" wrapText="1"/>
    </xf>
    <xf numFmtId="49" fontId="17" fillId="10" borderId="2" xfId="0" applyNumberFormat="1" applyFont="1" applyFill="1" applyBorder="1" applyAlignment="1">
      <alignment horizontal="center" vertical="center" wrapText="1"/>
    </xf>
    <xf numFmtId="0" fontId="17" fillId="5" borderId="2" xfId="0" applyFont="1" applyFill="1" applyBorder="1" applyAlignment="1">
      <alignment horizontal="center"/>
    </xf>
    <xf numFmtId="0" fontId="5" fillId="9" borderId="2" xfId="0" applyFont="1" applyFill="1" applyBorder="1"/>
    <xf numFmtId="0" fontId="5" fillId="10" borderId="2" xfId="0" applyFont="1" applyFill="1" applyBorder="1"/>
    <xf numFmtId="0" fontId="5" fillId="5" borderId="2" xfId="0" applyFont="1" applyFill="1" applyBorder="1"/>
    <xf numFmtId="0" fontId="9" fillId="0" borderId="5" xfId="0" applyFont="1" applyBorder="1"/>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5" fillId="10" borderId="5" xfId="0" applyFont="1" applyFill="1" applyBorder="1" applyAlignment="1">
      <alignment vertical="top" wrapText="1"/>
    </xf>
    <xf numFmtId="0" fontId="22" fillId="7" borderId="5" xfId="0" applyFont="1" applyFill="1" applyBorder="1" applyAlignment="1">
      <alignment vertical="top"/>
    </xf>
    <xf numFmtId="0" fontId="25" fillId="7" borderId="5" xfId="0" applyFont="1" applyFill="1" applyBorder="1" applyAlignment="1">
      <alignment vertical="top"/>
    </xf>
    <xf numFmtId="0" fontId="26" fillId="0" borderId="0" xfId="0" applyFont="1"/>
    <xf numFmtId="0" fontId="5" fillId="3" borderId="0" xfId="0" applyFont="1" applyFill="1"/>
    <xf numFmtId="0" fontId="9" fillId="10" borderId="2" xfId="0" applyFont="1" applyFill="1" applyBorder="1"/>
    <xf numFmtId="49" fontId="9" fillId="10" borderId="2" xfId="0" applyNumberFormat="1" applyFont="1" applyFill="1" applyBorder="1"/>
    <xf numFmtId="0" fontId="9" fillId="12" borderId="2" xfId="0" applyFont="1" applyFill="1" applyBorder="1"/>
    <xf numFmtId="0" fontId="8" fillId="10" borderId="2" xfId="0" applyFont="1" applyFill="1" applyBorder="1" applyAlignment="1">
      <alignment horizontal="center" vertical="center" wrapText="1"/>
    </xf>
    <xf numFmtId="0" fontId="9" fillId="10" borderId="2" xfId="0" applyFont="1" applyFill="1" applyBorder="1" applyAlignment="1">
      <alignment horizontal="center" vertical="center" wrapText="1"/>
    </xf>
    <xf numFmtId="49" fontId="9" fillId="10" borderId="2"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49" fontId="17" fillId="10" borderId="3" xfId="0" applyNumberFormat="1" applyFont="1" applyFill="1" applyBorder="1" applyAlignment="1">
      <alignment horizontal="center" vertical="center" wrapText="1"/>
    </xf>
    <xf numFmtId="0" fontId="27" fillId="6" borderId="0" xfId="0" applyFont="1" applyFill="1" applyAlignment="1">
      <alignment vertical="center"/>
    </xf>
    <xf numFmtId="0" fontId="28" fillId="6" borderId="0" xfId="0" applyFont="1" applyFill="1" applyAlignment="1">
      <alignment vertical="center"/>
    </xf>
    <xf numFmtId="0" fontId="25" fillId="4" borderId="6" xfId="0" applyFont="1" applyFill="1" applyBorder="1" applyAlignment="1">
      <alignment horizontal="left"/>
    </xf>
    <xf numFmtId="49" fontId="25" fillId="7" borderId="7" xfId="0" applyNumberFormat="1" applyFont="1" applyFill="1" applyBorder="1" applyAlignment="1">
      <alignment horizontal="left" vertical="center"/>
    </xf>
    <xf numFmtId="0" fontId="25" fillId="8" borderId="0" xfId="0" applyFont="1" applyFill="1"/>
    <xf numFmtId="0" fontId="9" fillId="0" borderId="0" xfId="0" applyFont="1" applyAlignment="1">
      <alignment horizontal="center" vertical="center" wrapText="1"/>
    </xf>
    <xf numFmtId="0" fontId="9" fillId="11" borderId="2" xfId="0" applyFont="1" applyFill="1" applyBorder="1"/>
    <xf numFmtId="0" fontId="9" fillId="9" borderId="2" xfId="0" applyFont="1" applyFill="1" applyBorder="1"/>
    <xf numFmtId="0" fontId="9" fillId="11" borderId="2"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9" fillId="7" borderId="4" xfId="0" applyFont="1" applyFill="1" applyBorder="1" applyAlignment="1">
      <alignment horizontal="left"/>
    </xf>
    <xf numFmtId="49" fontId="29" fillId="7" borderId="4" xfId="0" applyNumberFormat="1" applyFont="1" applyFill="1" applyBorder="1" applyAlignment="1">
      <alignment horizontal="left"/>
    </xf>
    <xf numFmtId="0" fontId="29" fillId="13" borderId="4" xfId="0" applyFont="1" applyFill="1" applyBorder="1" applyAlignment="1">
      <alignment horizontal="left"/>
    </xf>
    <xf numFmtId="0" fontId="30" fillId="7" borderId="4" xfId="0" applyFont="1" applyFill="1" applyBorder="1" applyAlignment="1">
      <alignment horizontal="left"/>
    </xf>
    <xf numFmtId="0" fontId="30" fillId="4" borderId="4" xfId="0" applyFont="1" applyFill="1" applyBorder="1" applyAlignment="1">
      <alignment horizontal="left"/>
    </xf>
    <xf numFmtId="0" fontId="29" fillId="4" borderId="4" xfId="0" applyFont="1" applyFill="1" applyBorder="1" applyAlignment="1">
      <alignment horizontal="left"/>
    </xf>
    <xf numFmtId="0" fontId="15" fillId="3" borderId="8" xfId="0" applyFont="1" applyFill="1" applyBorder="1"/>
    <xf numFmtId="0" fontId="30" fillId="13" borderId="4" xfId="0" applyFont="1" applyFill="1" applyBorder="1" applyAlignment="1">
      <alignment horizontal="left"/>
    </xf>
    <xf numFmtId="0" fontId="30" fillId="13" borderId="4" xfId="0" applyFont="1" applyFill="1" applyBorder="1"/>
    <xf numFmtId="0" fontId="32" fillId="0" borderId="5" xfId="0" applyFont="1" applyBorder="1" applyAlignment="1">
      <alignment vertical="top"/>
    </xf>
    <xf numFmtId="0" fontId="33" fillId="0" borderId="0" xfId="0" applyFont="1" applyAlignment="1">
      <alignment vertical="center"/>
    </xf>
    <xf numFmtId="0" fontId="34" fillId="0" borderId="0" xfId="0" applyFont="1"/>
    <xf numFmtId="0" fontId="13" fillId="14" borderId="2" xfId="0" applyFont="1" applyFill="1" applyBorder="1"/>
    <xf numFmtId="0" fontId="8" fillId="14" borderId="2" xfId="0" applyFont="1" applyFill="1" applyBorder="1" applyAlignment="1">
      <alignment horizontal="center" vertical="top" wrapText="1"/>
    </xf>
    <xf numFmtId="0" fontId="17" fillId="14" borderId="3" xfId="0" applyFont="1" applyFill="1" applyBorder="1" applyAlignment="1">
      <alignment horizontal="center" vertical="center" wrapText="1"/>
    </xf>
    <xf numFmtId="49" fontId="35" fillId="9" borderId="2" xfId="1" applyNumberFormat="1" applyFont="1" applyFill="1" applyBorder="1" applyAlignment="1" applyProtection="1">
      <alignment horizontal="center" vertical="center" wrapText="1"/>
    </xf>
    <xf numFmtId="0" fontId="17" fillId="11" borderId="3"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5" fillId="0" borderId="0" xfId="0" applyFont="1" applyAlignment="1">
      <alignment horizontal="center"/>
    </xf>
    <xf numFmtId="49" fontId="36" fillId="9" borderId="2" xfId="0" applyNumberFormat="1" applyFont="1" applyFill="1" applyBorder="1" applyAlignment="1">
      <alignment horizontal="center" vertical="center" wrapText="1"/>
    </xf>
    <xf numFmtId="0" fontId="37" fillId="0" borderId="0" xfId="0" applyFont="1" applyAlignment="1">
      <alignment vertical="center"/>
    </xf>
    <xf numFmtId="0" fontId="1" fillId="0" borderId="0" xfId="0" applyFont="1"/>
    <xf numFmtId="0" fontId="9" fillId="5" borderId="2" xfId="0" applyFont="1" applyFill="1" applyBorder="1" applyAlignment="1">
      <alignment horizontal="center" wrapText="1"/>
    </xf>
    <xf numFmtId="49" fontId="4" fillId="10" borderId="2" xfId="0" applyNumberFormat="1" applyFont="1" applyFill="1" applyBorder="1" applyAlignment="1">
      <alignment horizontal="center" vertical="center" wrapText="1"/>
    </xf>
    <xf numFmtId="49" fontId="8" fillId="9" borderId="2" xfId="0" applyNumberFormat="1" applyFont="1" applyFill="1" applyBorder="1" applyAlignment="1">
      <alignment horizontal="center" vertical="center" wrapText="1"/>
    </xf>
    <xf numFmtId="49" fontId="9" fillId="9" borderId="2" xfId="0" applyNumberFormat="1" applyFont="1" applyFill="1" applyBorder="1" applyAlignment="1">
      <alignment horizontal="center" vertical="center" wrapText="1"/>
    </xf>
    <xf numFmtId="0" fontId="5" fillId="0" borderId="0" xfId="0" applyFont="1" applyProtection="1">
      <protection locked="0"/>
    </xf>
    <xf numFmtId="49" fontId="5" fillId="0" borderId="0" xfId="0" applyNumberFormat="1" applyFont="1" applyProtection="1">
      <protection locked="0"/>
    </xf>
    <xf numFmtId="0" fontId="5" fillId="3" borderId="0" xfId="0" applyFont="1" applyFill="1" applyProtection="1">
      <protection locked="0"/>
    </xf>
    <xf numFmtId="0" fontId="5" fillId="0" borderId="0" xfId="0" applyFont="1" applyAlignment="1" applyProtection="1">
      <alignment horizontal="center"/>
      <protection locked="0"/>
    </xf>
    <xf numFmtId="49" fontId="17" fillId="0" borderId="0" xfId="0" applyNumberFormat="1" applyFont="1" applyAlignment="1">
      <alignment horizontal="center" vertical="center" wrapText="1"/>
    </xf>
    <xf numFmtId="0" fontId="8" fillId="14" borderId="2" xfId="0" applyFont="1" applyFill="1" applyBorder="1" applyAlignment="1">
      <alignment horizontal="center" vertical="center" wrapText="1"/>
    </xf>
    <xf numFmtId="0" fontId="14" fillId="0" borderId="0" xfId="0" applyFont="1" applyAlignment="1">
      <alignment horizontal="center" vertical="center"/>
    </xf>
    <xf numFmtId="0" fontId="22" fillId="4" borderId="6" xfId="0" applyFont="1" applyFill="1" applyBorder="1" applyAlignment="1">
      <alignment horizontal="left"/>
    </xf>
    <xf numFmtId="0" fontId="5" fillId="6" borderId="0" xfId="0" applyFont="1" applyFill="1" applyProtection="1">
      <protection locked="0"/>
    </xf>
    <xf numFmtId="49" fontId="5" fillId="6" borderId="0" xfId="0" applyNumberFormat="1" applyFont="1" applyFill="1" applyProtection="1">
      <protection locked="0"/>
    </xf>
    <xf numFmtId="0" fontId="11" fillId="6" borderId="0" xfId="0" applyFont="1" applyFill="1" applyProtection="1">
      <protection locked="0"/>
    </xf>
    <xf numFmtId="0" fontId="38" fillId="0" borderId="0" xfId="4" applyFont="1"/>
    <xf numFmtId="0" fontId="39" fillId="0" borderId="0" xfId="0" applyFont="1"/>
    <xf numFmtId="0" fontId="41" fillId="19" borderId="5" xfId="1" applyFont="1" applyFill="1" applyBorder="1" applyAlignment="1" applyProtection="1">
      <alignment horizontal="center" vertical="center" wrapText="1"/>
    </xf>
    <xf numFmtId="164" fontId="1" fillId="0" borderId="0" xfId="0" applyNumberFormat="1" applyFont="1"/>
    <xf numFmtId="14" fontId="1" fillId="0" borderId="0" xfId="0" applyNumberFormat="1" applyFont="1"/>
    <xf numFmtId="2" fontId="1" fillId="0" borderId="0" xfId="0" applyNumberFormat="1" applyFont="1"/>
    <xf numFmtId="2" fontId="5" fillId="0" borderId="0" xfId="0" applyNumberFormat="1" applyFont="1" applyProtection="1">
      <protection locked="0"/>
    </xf>
    <xf numFmtId="0" fontId="15" fillId="16" borderId="0" xfId="0" applyFont="1" applyFill="1"/>
    <xf numFmtId="0" fontId="5" fillId="5" borderId="2" xfId="0" applyFont="1" applyFill="1" applyBorder="1" applyAlignment="1">
      <alignment horizontal="center" vertical="center" wrapText="1"/>
    </xf>
    <xf numFmtId="0" fontId="5" fillId="0" borderId="0" xfId="0" applyFont="1" applyAlignment="1">
      <alignment horizontal="left"/>
    </xf>
    <xf numFmtId="0" fontId="1" fillId="2" borderId="1" xfId="0" applyFont="1" applyFill="1" applyBorder="1"/>
    <xf numFmtId="0" fontId="44" fillId="0" borderId="0" xfId="0" applyFont="1" applyAlignment="1">
      <alignment vertical="center"/>
    </xf>
    <xf numFmtId="0" fontId="1" fillId="2" borderId="0" xfId="0" applyFont="1" applyFill="1"/>
    <xf numFmtId="0" fontId="47" fillId="2" borderId="0" xfId="0" applyFont="1" applyFill="1" applyAlignment="1">
      <alignment vertical="center"/>
    </xf>
    <xf numFmtId="49" fontId="48" fillId="2" borderId="0" xfId="0" applyNumberFormat="1" applyFont="1" applyFill="1" applyAlignment="1">
      <alignment horizontal="center" vertical="center" wrapText="1"/>
    </xf>
    <xf numFmtId="0" fontId="49" fillId="0" borderId="8" xfId="1" applyFont="1" applyBorder="1" applyAlignment="1" applyProtection="1"/>
    <xf numFmtId="0" fontId="50" fillId="2" borderId="9" xfId="0" applyFont="1" applyFill="1" applyBorder="1" applyAlignment="1">
      <alignment horizontal="center" vertical="center" wrapText="1"/>
    </xf>
    <xf numFmtId="0" fontId="51" fillId="2" borderId="9" xfId="0" applyFont="1" applyFill="1" applyBorder="1" applyAlignment="1">
      <alignment horizontal="center" vertical="center" wrapText="1"/>
    </xf>
    <xf numFmtId="49" fontId="2" fillId="2" borderId="9" xfId="1" applyNumberFormat="1" applyFill="1" applyBorder="1" applyAlignment="1" applyProtection="1">
      <alignment horizontal="right" vertical="center" wrapText="1"/>
    </xf>
    <xf numFmtId="49" fontId="52" fillId="20" borderId="0" xfId="0" applyNumberFormat="1" applyFont="1" applyFill="1" applyAlignment="1">
      <alignment horizontal="center" vertical="center" wrapText="1"/>
    </xf>
    <xf numFmtId="0" fontId="52" fillId="20" borderId="0" xfId="0" applyFont="1" applyFill="1" applyAlignment="1">
      <alignment horizontal="center" vertical="center" wrapText="1"/>
    </xf>
    <xf numFmtId="0" fontId="52" fillId="20" borderId="0" xfId="0" applyFont="1" applyFill="1" applyAlignment="1">
      <alignment horizontal="center"/>
    </xf>
    <xf numFmtId="49" fontId="53" fillId="16" borderId="0" xfId="0" applyNumberFormat="1" applyFont="1" applyFill="1" applyAlignment="1">
      <alignment horizontal="center" vertical="center" wrapText="1"/>
    </xf>
    <xf numFmtId="0" fontId="55" fillId="2" borderId="6" xfId="0" applyFont="1" applyFill="1" applyBorder="1"/>
    <xf numFmtId="0" fontId="55" fillId="2" borderId="0" xfId="0" applyFont="1" applyFill="1"/>
    <xf numFmtId="49" fontId="56" fillId="2" borderId="0" xfId="1" applyNumberFormat="1" applyFont="1" applyFill="1" applyBorder="1" applyAlignment="1" applyProtection="1">
      <alignment horizontal="right" vertical="center" wrapText="1"/>
    </xf>
    <xf numFmtId="0" fontId="57" fillId="15" borderId="0" xfId="0" applyFont="1" applyFill="1" applyAlignment="1">
      <alignment horizontal="center"/>
    </xf>
    <xf numFmtId="0" fontId="55" fillId="2" borderId="10" xfId="0" applyFont="1" applyFill="1" applyBorder="1"/>
    <xf numFmtId="0" fontId="55" fillId="2" borderId="1" xfId="0" applyFont="1" applyFill="1" applyBorder="1"/>
    <xf numFmtId="49" fontId="2" fillId="2" borderId="0" xfId="1" applyNumberFormat="1" applyFill="1" applyBorder="1" applyAlignment="1" applyProtection="1">
      <alignment horizontal="right" vertical="center" wrapText="1"/>
    </xf>
    <xf numFmtId="2" fontId="58" fillId="18" borderId="0" xfId="5" applyNumberFormat="1" applyFont="1" applyFill="1" applyAlignment="1">
      <alignment horizontal="center"/>
    </xf>
    <xf numFmtId="49" fontId="59" fillId="17" borderId="2" xfId="0" applyNumberFormat="1" applyFont="1" applyFill="1" applyBorder="1" applyAlignment="1">
      <alignment horizontal="center" vertical="top" wrapText="1"/>
    </xf>
    <xf numFmtId="49" fontId="54" fillId="17" borderId="2" xfId="0" applyNumberFormat="1" applyFont="1" applyFill="1" applyBorder="1" applyAlignment="1">
      <alignment horizontal="center" vertical="top" wrapText="1"/>
    </xf>
    <xf numFmtId="49" fontId="60" fillId="2" borderId="3"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42" fillId="0" borderId="0" xfId="0" applyFont="1"/>
    <xf numFmtId="0" fontId="2" fillId="0" borderId="5" xfId="1" applyBorder="1" applyAlignment="1" applyProtection="1"/>
    <xf numFmtId="0" fontId="9" fillId="0" borderId="5" xfId="0" applyFont="1" applyBorder="1" applyAlignment="1">
      <alignment wrapText="1"/>
    </xf>
    <xf numFmtId="0" fontId="2" fillId="10" borderId="3" xfId="1" applyFill="1" applyBorder="1" applyAlignment="1" applyProtection="1">
      <alignment horizontal="center" vertical="center" wrapText="1"/>
    </xf>
    <xf numFmtId="0" fontId="37" fillId="6" borderId="0" xfId="0" applyFont="1" applyFill="1" applyAlignment="1">
      <alignment vertical="center"/>
    </xf>
    <xf numFmtId="0" fontId="0" fillId="0" borderId="0" xfId="0" applyAlignment="1">
      <alignment vertical="center"/>
    </xf>
    <xf numFmtId="0" fontId="62" fillId="0" borderId="0" xfId="0" applyFont="1" applyAlignment="1">
      <alignment wrapText="1"/>
    </xf>
    <xf numFmtId="0" fontId="8" fillId="5" borderId="0" xfId="0" applyFont="1" applyFill="1"/>
    <xf numFmtId="0" fontId="8" fillId="5" borderId="11" xfId="0" applyFont="1" applyFill="1" applyBorder="1"/>
    <xf numFmtId="0" fontId="8" fillId="5" borderId="6" xfId="0" applyFont="1" applyFill="1" applyBorder="1"/>
    <xf numFmtId="0" fontId="9" fillId="21" borderId="0" xfId="0" applyFont="1" applyFill="1" applyAlignment="1">
      <alignment horizontal="center" vertical="center" wrapText="1"/>
    </xf>
    <xf numFmtId="0" fontId="17" fillId="0" borderId="0" xfId="0" applyFont="1" applyAlignment="1">
      <alignment horizontal="center" vertical="center" wrapText="1"/>
    </xf>
    <xf numFmtId="0" fontId="30" fillId="16" borderId="0" xfId="0" applyFont="1" applyFill="1" applyAlignment="1">
      <alignment horizontal="left"/>
    </xf>
    <xf numFmtId="165" fontId="9" fillId="0" borderId="0" xfId="0" applyNumberFormat="1" applyFont="1" applyAlignment="1">
      <alignment horizontal="center" vertical="center" wrapText="1"/>
    </xf>
    <xf numFmtId="0" fontId="17" fillId="0" borderId="5" xfId="0" applyFont="1" applyBorder="1" applyAlignment="1">
      <alignment wrapText="1"/>
    </xf>
    <xf numFmtId="0" fontId="5" fillId="0" borderId="5" xfId="0" applyFont="1" applyBorder="1" applyAlignment="1">
      <alignment wrapText="1"/>
    </xf>
    <xf numFmtId="10" fontId="5" fillId="0" borderId="0" xfId="0" applyNumberFormat="1" applyFont="1" applyProtection="1">
      <protection locked="0"/>
    </xf>
    <xf numFmtId="0" fontId="64" fillId="0" borderId="0" xfId="0" applyFont="1" applyAlignment="1">
      <alignment horizontal="justify" vertical="center"/>
    </xf>
    <xf numFmtId="0" fontId="9" fillId="0" borderId="5" xfId="0" applyFont="1" applyBorder="1" applyAlignment="1">
      <alignment horizontal="left"/>
    </xf>
    <xf numFmtId="0" fontId="32" fillId="0" borderId="5" xfId="0" applyFont="1" applyBorder="1" applyAlignment="1">
      <alignment vertical="top" wrapText="1"/>
    </xf>
    <xf numFmtId="0" fontId="65" fillId="0" borderId="0" xfId="0" applyFont="1" applyFill="1" applyAlignment="1">
      <alignment vertical="center" wrapText="1"/>
    </xf>
    <xf numFmtId="0" fontId="37" fillId="0" borderId="0" xfId="0" applyFont="1" applyAlignment="1">
      <alignment vertical="center"/>
    </xf>
    <xf numFmtId="0" fontId="2" fillId="10" borderId="4" xfId="1" applyFill="1" applyBorder="1" applyAlignment="1" applyProtection="1">
      <alignment horizontal="center" vertical="center" wrapText="1"/>
    </xf>
    <xf numFmtId="0" fontId="2" fillId="10" borderId="3" xfId="1" applyFill="1" applyBorder="1" applyAlignment="1" applyProtection="1">
      <alignment horizontal="center" vertical="center" wrapText="1"/>
    </xf>
    <xf numFmtId="0" fontId="43" fillId="2" borderId="1" xfId="0" applyFont="1" applyFill="1" applyBorder="1" applyAlignment="1">
      <alignment vertical="center"/>
    </xf>
    <xf numFmtId="0" fontId="40" fillId="0" borderId="1" xfId="0" applyFont="1" applyBorder="1"/>
    <xf numFmtId="0" fontId="31" fillId="6" borderId="1" xfId="1" applyFont="1" applyFill="1" applyBorder="1" applyAlignment="1" applyProtection="1"/>
    <xf numFmtId="0" fontId="0" fillId="0" borderId="1" xfId="0" applyBorder="1"/>
    <xf numFmtId="0" fontId="30" fillId="16" borderId="4" xfId="0" applyFont="1" applyFill="1" applyBorder="1" applyAlignment="1">
      <alignment horizontal="left"/>
    </xf>
    <xf numFmtId="0" fontId="30" fillId="16" borderId="8" xfId="0" applyFont="1" applyFill="1" applyBorder="1" applyAlignment="1">
      <alignment horizontal="left"/>
    </xf>
    <xf numFmtId="0" fontId="37" fillId="6" borderId="0" xfId="0" applyFont="1" applyFill="1" applyAlignment="1">
      <alignment vertical="center"/>
    </xf>
    <xf numFmtId="0" fontId="0" fillId="0" borderId="0" xfId="0" applyAlignment="1">
      <alignment vertical="center"/>
    </xf>
    <xf numFmtId="0" fontId="30" fillId="16" borderId="9" xfId="0" applyFont="1" applyFill="1" applyBorder="1" applyAlignment="1">
      <alignment horizontal="left"/>
    </xf>
  </cellXfs>
  <cellStyles count="7">
    <cellStyle name="Hyperlink 2" xfId="2" xr:uid="{00000000-0005-0000-0000-000001000000}"/>
    <cellStyle name="Hyperlink 2 2" xfId="3" xr:uid="{00000000-0005-0000-0000-000002000000}"/>
    <cellStyle name="Link" xfId="1" builtinId="8"/>
    <cellStyle name="Normal 2" xfId="4" xr:uid="{00000000-0005-0000-0000-000004000000}"/>
    <cellStyle name="Normal 2 2" xfId="5" xr:uid="{00000000-0005-0000-0000-000005000000}"/>
    <cellStyle name="Normal 3" xfId="6" xr:uid="{00000000-0005-0000-0000-000006000000}"/>
    <cellStyle name="Standard"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i.org/10.5880/digis.2025.011" TargetMode="External"/><Relationship Id="rId7" Type="http://schemas.openxmlformats.org/officeDocument/2006/relationships/printerSettings" Target="../printerSettings/printerSettings1.bin"/><Relationship Id="rId2" Type="http://schemas.openxmlformats.org/officeDocument/2006/relationships/hyperlink" Target="http://digis.geo.uni-goettingen.de/" TargetMode="External"/><Relationship Id="rId1" Type="http://schemas.openxmlformats.org/officeDocument/2006/relationships/hyperlink" Target="http://doi.org/10.26022/IEDA/112264" TargetMode="External"/><Relationship Id="rId6" Type="http://schemas.openxmlformats.org/officeDocument/2006/relationships/hyperlink" Target="https://doi.org/10.5194/sd-35-21-2026" TargetMode="External"/><Relationship Id="rId5" Type="http://schemas.openxmlformats.org/officeDocument/2006/relationships/hyperlink" Target="https://doi.org/10.5880/digis.e.2025.005" TargetMode="External"/><Relationship Id="rId4" Type="http://schemas.openxmlformats.org/officeDocument/2006/relationships/hyperlink" Target="mailto:sarah.lambart@utah.edu"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geosamples.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arthchem.org/ecl/vocabularies/" TargetMode="External"/><Relationship Id="rId2" Type="http://schemas.openxmlformats.org/officeDocument/2006/relationships/hyperlink" Target="https://earthchem.org/ecl/vocabularies/" TargetMode="External"/><Relationship Id="rId1" Type="http://schemas.openxmlformats.org/officeDocument/2006/relationships/hyperlink" Target="http://www.geosamples.org/"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earthchem.org/ecl/vocabular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2"/>
  <sheetViews>
    <sheetView tabSelected="1" topLeftCell="A35" zoomScaleNormal="100" workbookViewId="0">
      <selection activeCell="C45" sqref="C45"/>
    </sheetView>
  </sheetViews>
  <sheetFormatPr baseColWidth="10" defaultColWidth="8.81640625" defaultRowHeight="15"/>
  <cols>
    <col min="1" max="1" width="35.6328125" style="8" customWidth="1"/>
    <col min="2" max="2" width="25.1796875" style="8" customWidth="1"/>
    <col min="3" max="3" width="93.81640625" style="8" customWidth="1"/>
    <col min="4" max="16384" width="8.81640625" style="8"/>
  </cols>
  <sheetData>
    <row r="1" spans="1:3" ht="30">
      <c r="A1" s="154" t="s">
        <v>45</v>
      </c>
      <c r="B1" s="154"/>
      <c r="C1" s="70" t="s">
        <v>113</v>
      </c>
    </row>
    <row r="2" spans="1:3" ht="40.950000000000003" customHeight="1">
      <c r="A2" s="99" t="s">
        <v>124</v>
      </c>
      <c r="B2" s="155" t="s">
        <v>115</v>
      </c>
    </row>
    <row r="3" spans="1:3" ht="16.95" customHeight="1">
      <c r="A3" s="34" t="s">
        <v>114</v>
      </c>
      <c r="B3" s="156"/>
    </row>
    <row r="4" spans="1:3" ht="15.6">
      <c r="B4" s="37"/>
    </row>
    <row r="5" spans="1:3" ht="30" customHeight="1">
      <c r="A5" s="35" t="s">
        <v>41</v>
      </c>
      <c r="B5" s="34" t="s">
        <v>65</v>
      </c>
      <c r="C5" s="135" t="s">
        <v>1500</v>
      </c>
    </row>
    <row r="6" spans="1:3" ht="70.5" customHeight="1">
      <c r="A6" s="35" t="s">
        <v>46</v>
      </c>
      <c r="B6" s="34" t="s">
        <v>66</v>
      </c>
      <c r="C6" s="148" t="s">
        <v>1501</v>
      </c>
    </row>
    <row r="7" spans="1:3" ht="85.8" customHeight="1">
      <c r="A7" s="35" t="s">
        <v>42</v>
      </c>
      <c r="B7" s="34" t="s">
        <v>67</v>
      </c>
      <c r="C7" s="148" t="s">
        <v>1515</v>
      </c>
    </row>
    <row r="8" spans="1:3" ht="273.60000000000002" customHeight="1">
      <c r="A8" s="36" t="s">
        <v>16</v>
      </c>
      <c r="B8" s="34" t="s">
        <v>29</v>
      </c>
      <c r="C8" s="147" t="s">
        <v>1517</v>
      </c>
    </row>
    <row r="9" spans="1:3" ht="30" customHeight="1">
      <c r="A9" s="36" t="s">
        <v>17</v>
      </c>
      <c r="B9" s="34" t="s">
        <v>68</v>
      </c>
      <c r="C9" s="151">
        <v>2025</v>
      </c>
    </row>
    <row r="10" spans="1:3" ht="30" customHeight="1">
      <c r="A10" s="36" t="s">
        <v>1502</v>
      </c>
      <c r="B10" s="34"/>
      <c r="C10" s="29" t="s">
        <v>1503</v>
      </c>
    </row>
    <row r="11" spans="1:3" ht="30" customHeight="1">
      <c r="A11" s="36" t="s">
        <v>54</v>
      </c>
      <c r="B11" s="34"/>
      <c r="C11" s="134" t="s">
        <v>1504</v>
      </c>
    </row>
    <row r="12" spans="1:3" ht="30" customHeight="1">
      <c r="A12" s="36" t="s">
        <v>1505</v>
      </c>
      <c r="B12" s="34" t="s">
        <v>28</v>
      </c>
      <c r="C12" s="29" t="s">
        <v>1430</v>
      </c>
    </row>
    <row r="13" spans="1:3" ht="30" customHeight="1">
      <c r="A13" s="35" t="s">
        <v>43</v>
      </c>
      <c r="B13" s="34" t="s">
        <v>30</v>
      </c>
      <c r="C13" s="134" t="s">
        <v>1431</v>
      </c>
    </row>
    <row r="14" spans="1:3" ht="87.6" customHeight="1">
      <c r="A14" s="35" t="s">
        <v>1506</v>
      </c>
      <c r="B14" s="34" t="s">
        <v>1507</v>
      </c>
      <c r="C14" s="153" t="s">
        <v>1516</v>
      </c>
    </row>
    <row r="16" spans="1:3" ht="52.8">
      <c r="A16" s="69" t="s">
        <v>71</v>
      </c>
      <c r="B16" s="34" t="s">
        <v>69</v>
      </c>
      <c r="C16" s="29"/>
    </row>
    <row r="17" spans="1:3">
      <c r="A17" s="29" t="s">
        <v>47</v>
      </c>
      <c r="B17" s="34"/>
      <c r="C17" s="135" t="s">
        <v>1518</v>
      </c>
    </row>
    <row r="18" spans="1:3" ht="57.6">
      <c r="A18" s="29" t="s">
        <v>48</v>
      </c>
      <c r="B18" s="34"/>
      <c r="C18" s="147" t="s">
        <v>1513</v>
      </c>
    </row>
    <row r="19" spans="1:3">
      <c r="A19" s="29" t="s">
        <v>49</v>
      </c>
      <c r="B19" s="34"/>
      <c r="C19" s="151">
        <v>2026</v>
      </c>
    </row>
    <row r="20" spans="1:3">
      <c r="A20" s="29" t="s">
        <v>50</v>
      </c>
      <c r="B20" s="34"/>
      <c r="C20" s="29" t="s">
        <v>1429</v>
      </c>
    </row>
    <row r="21" spans="1:3">
      <c r="A21" s="29" t="s">
        <v>51</v>
      </c>
      <c r="B21" s="34"/>
      <c r="C21" s="29"/>
    </row>
    <row r="22" spans="1:3">
      <c r="A22" s="29" t="s">
        <v>52</v>
      </c>
      <c r="B22" s="34"/>
      <c r="C22" s="29"/>
    </row>
    <row r="23" spans="1:3">
      <c r="A23" s="29" t="s">
        <v>53</v>
      </c>
      <c r="B23" s="34"/>
      <c r="C23" s="29"/>
    </row>
    <row r="24" spans="1:3">
      <c r="A24" s="29" t="s">
        <v>54</v>
      </c>
      <c r="B24" s="34"/>
      <c r="C24" s="151" t="s">
        <v>1519</v>
      </c>
    </row>
    <row r="26" spans="1:3" ht="52.8">
      <c r="A26" s="152" t="s">
        <v>1510</v>
      </c>
      <c r="B26" s="34" t="s">
        <v>69</v>
      </c>
      <c r="C26" s="29"/>
    </row>
    <row r="27" spans="1:3">
      <c r="A27" s="29" t="s">
        <v>47</v>
      </c>
      <c r="B27" s="34"/>
      <c r="C27" s="135" t="s">
        <v>1499</v>
      </c>
    </row>
    <row r="28" spans="1:3" ht="60">
      <c r="A28" s="29" t="s">
        <v>48</v>
      </c>
      <c r="B28" s="34"/>
      <c r="C28" s="135" t="s">
        <v>1498</v>
      </c>
    </row>
    <row r="29" spans="1:3">
      <c r="A29" s="29" t="s">
        <v>49</v>
      </c>
      <c r="B29" s="34"/>
      <c r="C29" s="29">
        <v>2025</v>
      </c>
    </row>
    <row r="30" spans="1:3">
      <c r="A30" s="29" t="s">
        <v>1508</v>
      </c>
      <c r="B30" s="34"/>
      <c r="C30" s="135" t="s">
        <v>1503</v>
      </c>
    </row>
    <row r="31" spans="1:3">
      <c r="A31" s="29" t="s">
        <v>54</v>
      </c>
      <c r="B31" s="34"/>
      <c r="C31" s="135" t="s">
        <v>1509</v>
      </c>
    </row>
    <row r="33" spans="1:3" ht="52.8">
      <c r="A33" s="69" t="s">
        <v>1476</v>
      </c>
      <c r="B33" s="34" t="s">
        <v>69</v>
      </c>
      <c r="C33" s="29"/>
    </row>
    <row r="34" spans="1:3" ht="30">
      <c r="A34" s="29" t="s">
        <v>47</v>
      </c>
      <c r="B34" s="34"/>
      <c r="C34" s="135" t="s">
        <v>1432</v>
      </c>
    </row>
    <row r="35" spans="1:3" ht="45">
      <c r="A35" s="29" t="s">
        <v>48</v>
      </c>
      <c r="B35" s="34"/>
      <c r="C35" s="135" t="s">
        <v>1435</v>
      </c>
    </row>
    <row r="36" spans="1:3">
      <c r="A36" s="29" t="s">
        <v>49</v>
      </c>
      <c r="B36" s="34"/>
      <c r="C36" s="29" t="s">
        <v>1433</v>
      </c>
    </row>
    <row r="37" spans="1:3">
      <c r="A37" s="29" t="s">
        <v>50</v>
      </c>
      <c r="B37" s="34"/>
      <c r="C37" s="29" t="s">
        <v>1434</v>
      </c>
    </row>
    <row r="38" spans="1:3">
      <c r="A38" s="29" t="s">
        <v>51</v>
      </c>
      <c r="B38" s="34"/>
      <c r="C38" s="29"/>
    </row>
    <row r="39" spans="1:3">
      <c r="A39" s="29" t="s">
        <v>52</v>
      </c>
      <c r="B39" s="34"/>
      <c r="C39" s="29"/>
    </row>
    <row r="40" spans="1:3">
      <c r="A40" s="29" t="s">
        <v>53</v>
      </c>
      <c r="B40" s="34"/>
      <c r="C40" s="29"/>
    </row>
    <row r="41" spans="1:3">
      <c r="A41" s="29" t="s">
        <v>54</v>
      </c>
      <c r="B41" s="34"/>
      <c r="C41" s="29" t="s">
        <v>1511</v>
      </c>
    </row>
    <row r="43" spans="1:3" ht="50.25" customHeight="1">
      <c r="A43" s="69" t="s">
        <v>1489</v>
      </c>
      <c r="B43" s="34" t="s">
        <v>69</v>
      </c>
      <c r="C43" s="135"/>
    </row>
    <row r="44" spans="1:3">
      <c r="A44" s="29" t="s">
        <v>47</v>
      </c>
      <c r="B44" s="34"/>
      <c r="C44" s="135" t="s">
        <v>1477</v>
      </c>
    </row>
    <row r="45" spans="1:3" ht="45">
      <c r="A45" s="29" t="s">
        <v>48</v>
      </c>
      <c r="B45" s="34"/>
      <c r="C45" s="135" t="s">
        <v>1514</v>
      </c>
    </row>
    <row r="46" spans="1:3">
      <c r="A46" s="29" t="s">
        <v>49</v>
      </c>
      <c r="B46" s="34"/>
      <c r="C46" s="151">
        <v>2026</v>
      </c>
    </row>
    <row r="47" spans="1:3">
      <c r="A47" s="29" t="s">
        <v>50</v>
      </c>
      <c r="B47" s="34"/>
      <c r="C47" s="29" t="s">
        <v>1478</v>
      </c>
    </row>
    <row r="48" spans="1:3">
      <c r="A48" s="29" t="s">
        <v>51</v>
      </c>
      <c r="B48" s="34"/>
      <c r="C48" s="29"/>
    </row>
    <row r="49" spans="1:3">
      <c r="A49" s="29" t="s">
        <v>52</v>
      </c>
      <c r="B49" s="34"/>
      <c r="C49" s="29"/>
    </row>
    <row r="50" spans="1:3">
      <c r="A50" s="29" t="s">
        <v>53</v>
      </c>
      <c r="B50" s="34"/>
      <c r="C50" s="29"/>
    </row>
    <row r="51" spans="1:3">
      <c r="A51" s="29" t="s">
        <v>54</v>
      </c>
      <c r="B51" s="34"/>
      <c r="C51" s="29" t="s">
        <v>1512</v>
      </c>
    </row>
    <row r="52" spans="1:3">
      <c r="A52" s="71" t="s">
        <v>72</v>
      </c>
    </row>
    <row r="54" spans="1:3" ht="50.25" customHeight="1">
      <c r="A54" s="69" t="s">
        <v>1497</v>
      </c>
      <c r="B54" s="34" t="s">
        <v>69</v>
      </c>
      <c r="C54" s="135"/>
    </row>
    <row r="55" spans="1:3" ht="30">
      <c r="A55" s="29" t="s">
        <v>47</v>
      </c>
      <c r="B55" s="34"/>
      <c r="C55" s="135" t="s">
        <v>1490</v>
      </c>
    </row>
    <row r="56" spans="1:3" ht="30">
      <c r="A56" s="29" t="s">
        <v>48</v>
      </c>
      <c r="B56" s="34"/>
      <c r="C56" s="135" t="s">
        <v>1491</v>
      </c>
    </row>
    <row r="57" spans="1:3">
      <c r="A57" s="29" t="s">
        <v>49</v>
      </c>
      <c r="B57" s="34"/>
      <c r="C57" s="29" t="s">
        <v>1428</v>
      </c>
    </row>
    <row r="58" spans="1:3">
      <c r="A58" s="29" t="s">
        <v>50</v>
      </c>
      <c r="B58" s="34"/>
      <c r="C58" s="29" t="s">
        <v>1492</v>
      </c>
    </row>
    <row r="59" spans="1:3" ht="15.6">
      <c r="A59" s="29" t="s">
        <v>51</v>
      </c>
      <c r="B59" s="34"/>
      <c r="C59" s="150"/>
    </row>
    <row r="60" spans="1:3">
      <c r="A60" s="29" t="s">
        <v>52</v>
      </c>
      <c r="B60" s="34"/>
      <c r="C60" s="29"/>
    </row>
    <row r="61" spans="1:3">
      <c r="A61" s="29" t="s">
        <v>53</v>
      </c>
      <c r="B61" s="34"/>
      <c r="C61" s="29"/>
    </row>
    <row r="62" spans="1:3">
      <c r="A62" s="29" t="s">
        <v>54</v>
      </c>
      <c r="B62" s="34"/>
      <c r="C62" s="29"/>
    </row>
  </sheetData>
  <customSheetViews>
    <customSheetView guid="{2CFD7C4A-4E08-F84A-A0D6-1548564B7C42}">
      <selection activeCell="A12" sqref="A12"/>
      <pageMargins left="0.75" right="0.75" top="1" bottom="1" header="0.5" footer="0.5"/>
      <pageSetup orientation="portrait" horizontalDpi="4294967292" verticalDpi="4294967292"/>
      <headerFooter alignWithMargins="0"/>
    </customSheetView>
  </customSheetViews>
  <mergeCells count="2">
    <mergeCell ref="A1:B1"/>
    <mergeCell ref="B2:B3"/>
  </mergeCells>
  <hyperlinks>
    <hyperlink ref="B2:B3" r:id="rId1" display="Template developed by EarthChem: 10.26022/IEDA/112264" xr:uid="{00000000-0004-0000-0000-000000000000}"/>
    <hyperlink ref="A2" r:id="rId2" xr:uid="{00000000-0004-0000-0000-000001000000}"/>
    <hyperlink ref="C11" r:id="rId3" xr:uid="{12F553E0-21C5-4CF4-BE12-8319D38354E0}"/>
    <hyperlink ref="C13" r:id="rId4" xr:uid="{EDB2F9A4-84FC-4EE7-8520-291D928C89DA}"/>
    <hyperlink ref="C31" r:id="rId5" xr:uid="{1F07D854-9C8F-40E3-AA82-B5D88FEF6EF1}"/>
    <hyperlink ref="C51" r:id="rId6" xr:uid="{89019EDC-27DD-46D3-B1A8-16783D61E73A}"/>
  </hyperlinks>
  <pageMargins left="0.75" right="0.75" top="1" bottom="1" header="0.5" footer="0.5"/>
  <pageSetup orientation="portrait" horizontalDpi="4294967292" verticalDpi="4294967292"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26"/>
  <sheetViews>
    <sheetView workbookViewId="0">
      <selection activeCell="L11" sqref="L11"/>
    </sheetView>
  </sheetViews>
  <sheetFormatPr baseColWidth="10" defaultColWidth="11" defaultRowHeight="13.2"/>
  <cols>
    <col min="1" max="1" width="33.453125" customWidth="1"/>
    <col min="2" max="2" width="16.1796875" customWidth="1"/>
    <col min="3" max="3" width="16.36328125" style="1" customWidth="1"/>
    <col min="4" max="4" width="13.453125" style="1" customWidth="1"/>
    <col min="5" max="6" width="13.81640625" style="1" customWidth="1"/>
    <col min="7" max="7" width="26.6328125" style="1" bestFit="1" customWidth="1"/>
    <col min="8" max="8" width="17.6328125" style="1" customWidth="1"/>
    <col min="9" max="9" width="26.453125" style="1" customWidth="1"/>
    <col min="10" max="10" width="21" style="1" customWidth="1"/>
  </cols>
  <sheetData>
    <row r="1" spans="1:10" ht="30">
      <c r="A1" s="80" t="s">
        <v>102</v>
      </c>
      <c r="C1"/>
      <c r="D1" s="70" t="s">
        <v>112</v>
      </c>
    </row>
    <row r="2" spans="1:10">
      <c r="A2" s="1"/>
      <c r="B2" s="1"/>
    </row>
    <row r="4" spans="1:10" ht="15.6">
      <c r="A4" s="49" t="s">
        <v>10</v>
      </c>
      <c r="B4" s="2"/>
      <c r="C4" s="50" t="s">
        <v>11</v>
      </c>
      <c r="D4" s="18"/>
      <c r="E4" s="18"/>
      <c r="F4" s="18"/>
      <c r="G4" s="18"/>
      <c r="H4" s="51" t="s">
        <v>12</v>
      </c>
      <c r="I4" s="19"/>
      <c r="J4" s="19"/>
    </row>
    <row r="5" spans="1:10" ht="31.2">
      <c r="A5" s="20" t="s">
        <v>98</v>
      </c>
      <c r="B5" s="79" t="s">
        <v>93</v>
      </c>
      <c r="C5" s="21" t="s">
        <v>34</v>
      </c>
      <c r="D5" s="21" t="s">
        <v>35</v>
      </c>
      <c r="E5" s="21" t="s">
        <v>109</v>
      </c>
      <c r="F5" s="83" t="s">
        <v>110</v>
      </c>
      <c r="G5" s="21" t="s">
        <v>36</v>
      </c>
      <c r="H5" s="82" t="s">
        <v>96</v>
      </c>
      <c r="I5" s="82" t="s">
        <v>95</v>
      </c>
      <c r="J5" s="82" t="s">
        <v>94</v>
      </c>
    </row>
    <row r="6" spans="1:10" ht="34.200000000000003">
      <c r="A6" s="23" t="s">
        <v>101</v>
      </c>
      <c r="B6" s="75" t="s">
        <v>97</v>
      </c>
      <c r="C6" s="24" t="s">
        <v>20</v>
      </c>
      <c r="D6" s="24" t="s">
        <v>21</v>
      </c>
      <c r="E6" s="24" t="s">
        <v>18</v>
      </c>
      <c r="F6" s="24" t="s">
        <v>18</v>
      </c>
      <c r="G6" s="24" t="s">
        <v>22</v>
      </c>
      <c r="H6" s="25"/>
      <c r="I6" s="25"/>
      <c r="J6" s="25"/>
    </row>
    <row r="7" spans="1:10">
      <c r="A7" s="26"/>
      <c r="B7" s="26"/>
      <c r="C7" s="27"/>
      <c r="D7" s="27"/>
      <c r="E7" s="27"/>
      <c r="F7" s="27"/>
      <c r="G7" s="27"/>
      <c r="H7" s="28"/>
      <c r="I7" s="28"/>
      <c r="J7" s="28"/>
    </row>
    <row r="8" spans="1:10" s="81" customFormat="1" ht="12.6">
      <c r="A8" s="100" t="s">
        <v>232</v>
      </c>
      <c r="C8" s="100">
        <v>64.964782</v>
      </c>
      <c r="D8" s="100">
        <v>2.729222</v>
      </c>
      <c r="E8" s="102">
        <f>31.3+0.93</f>
        <v>32.230000000000004</v>
      </c>
      <c r="F8" s="102">
        <f>31.3+0.96</f>
        <v>32.26</v>
      </c>
      <c r="G8" s="100" t="s">
        <v>127</v>
      </c>
      <c r="H8" s="100" t="s">
        <v>125</v>
      </c>
      <c r="I8" s="100" t="s">
        <v>126</v>
      </c>
      <c r="J8" s="101" t="s">
        <v>128</v>
      </c>
    </row>
    <row r="9" spans="1:10" s="81" customFormat="1" ht="12.6">
      <c r="A9" s="100" t="s">
        <v>233</v>
      </c>
      <c r="C9" s="100">
        <v>64.964782</v>
      </c>
      <c r="D9" s="100">
        <v>2.729222</v>
      </c>
      <c r="E9" s="102">
        <v>42.74</v>
      </c>
      <c r="F9" s="102">
        <f>E9+0.03</f>
        <v>42.77</v>
      </c>
      <c r="G9" s="100" t="s">
        <v>127</v>
      </c>
      <c r="H9" s="100" t="s">
        <v>125</v>
      </c>
      <c r="I9" s="100" t="s">
        <v>126</v>
      </c>
      <c r="J9" s="101" t="s">
        <v>128</v>
      </c>
    </row>
    <row r="10" spans="1:10" s="81" customFormat="1" ht="12.6">
      <c r="A10" s="100" t="s">
        <v>234</v>
      </c>
      <c r="C10" s="100">
        <v>64.964782</v>
      </c>
      <c r="D10" s="100">
        <v>2.729222</v>
      </c>
      <c r="E10" s="102">
        <v>53.55</v>
      </c>
      <c r="F10" s="102">
        <f>E10+0.03</f>
        <v>53.58</v>
      </c>
      <c r="G10" s="100" t="s">
        <v>127</v>
      </c>
      <c r="H10" s="100" t="s">
        <v>125</v>
      </c>
      <c r="I10" s="100" t="s">
        <v>126</v>
      </c>
      <c r="J10" s="101" t="s">
        <v>128</v>
      </c>
    </row>
    <row r="11" spans="1:10" s="81" customFormat="1" ht="12.6">
      <c r="A11" s="100" t="s">
        <v>235</v>
      </c>
      <c r="C11" s="100">
        <v>64.964782</v>
      </c>
      <c r="D11" s="100">
        <v>2.729222</v>
      </c>
      <c r="E11" s="102">
        <v>67.14</v>
      </c>
      <c r="F11" s="102">
        <f t="shared" ref="F11:F12" si="0">E11+0.03</f>
        <v>67.17</v>
      </c>
      <c r="G11" s="100" t="s">
        <v>127</v>
      </c>
      <c r="H11" s="100" t="s">
        <v>125</v>
      </c>
      <c r="I11" s="100" t="s">
        <v>126</v>
      </c>
      <c r="J11" s="101" t="s">
        <v>128</v>
      </c>
    </row>
    <row r="12" spans="1:10" s="81" customFormat="1" ht="12.6">
      <c r="A12" s="100" t="s">
        <v>237</v>
      </c>
      <c r="C12" s="100">
        <v>64.964782</v>
      </c>
      <c r="D12" s="100">
        <v>2.729222</v>
      </c>
      <c r="E12" s="102">
        <v>76.510000000000005</v>
      </c>
      <c r="F12" s="102">
        <f t="shared" si="0"/>
        <v>76.540000000000006</v>
      </c>
      <c r="G12" s="100" t="s">
        <v>127</v>
      </c>
      <c r="H12" s="100" t="s">
        <v>125</v>
      </c>
      <c r="I12" s="100" t="s">
        <v>126</v>
      </c>
      <c r="J12" s="101" t="s">
        <v>128</v>
      </c>
    </row>
    <row r="13" spans="1:10" s="81" customFormat="1" ht="12.6">
      <c r="A13" s="100" t="s">
        <v>239</v>
      </c>
      <c r="C13" s="100">
        <v>64.964782</v>
      </c>
      <c r="D13" s="100">
        <v>2.729222</v>
      </c>
      <c r="E13" s="102">
        <v>89.64</v>
      </c>
      <c r="F13" s="102">
        <f>E13+0.03</f>
        <v>89.67</v>
      </c>
      <c r="G13" s="100" t="s">
        <v>127</v>
      </c>
      <c r="H13" s="100" t="s">
        <v>125</v>
      </c>
      <c r="I13" s="100" t="s">
        <v>126</v>
      </c>
      <c r="J13" s="101" t="s">
        <v>128</v>
      </c>
    </row>
    <row r="14" spans="1:10" s="81" customFormat="1" ht="12.6">
      <c r="A14" s="100" t="s">
        <v>241</v>
      </c>
      <c r="C14" s="100">
        <v>64.964782</v>
      </c>
      <c r="D14" s="100">
        <v>2.729222</v>
      </c>
      <c r="E14" s="102">
        <v>98.21</v>
      </c>
      <c r="F14" s="102">
        <f>E14+0.02</f>
        <v>98.22999999999999</v>
      </c>
      <c r="G14" s="100" t="s">
        <v>127</v>
      </c>
      <c r="H14" s="100" t="s">
        <v>125</v>
      </c>
      <c r="I14" s="100" t="s">
        <v>126</v>
      </c>
      <c r="J14" s="101" t="s">
        <v>128</v>
      </c>
    </row>
    <row r="15" spans="1:10" s="81" customFormat="1" ht="12.6">
      <c r="A15" s="100" t="s">
        <v>243</v>
      </c>
      <c r="C15" s="100">
        <v>64.964782</v>
      </c>
      <c r="D15" s="100">
        <v>2.729222</v>
      </c>
      <c r="E15" s="102">
        <v>101.75</v>
      </c>
      <c r="F15" s="102">
        <f>E15+0.02</f>
        <v>101.77</v>
      </c>
      <c r="G15" s="100" t="s">
        <v>127</v>
      </c>
      <c r="H15" s="100" t="s">
        <v>125</v>
      </c>
      <c r="I15" s="100" t="s">
        <v>126</v>
      </c>
      <c r="J15" s="101" t="s">
        <v>128</v>
      </c>
    </row>
    <row r="16" spans="1:10" s="81" customFormat="1" ht="12.6">
      <c r="A16" s="100" t="s">
        <v>245</v>
      </c>
      <c r="C16" s="100">
        <v>64.964782</v>
      </c>
      <c r="D16" s="100">
        <v>2.729222</v>
      </c>
      <c r="E16" s="102">
        <v>111.46</v>
      </c>
      <c r="F16" s="102">
        <f>E16+0.02</f>
        <v>111.47999999999999</v>
      </c>
      <c r="G16" s="100" t="s">
        <v>127</v>
      </c>
      <c r="H16" s="100" t="s">
        <v>125</v>
      </c>
      <c r="I16" s="100" t="s">
        <v>126</v>
      </c>
      <c r="J16" s="101" t="s">
        <v>128</v>
      </c>
    </row>
    <row r="17" spans="1:10" s="81" customFormat="1" ht="12.6">
      <c r="A17" s="100" t="s">
        <v>263</v>
      </c>
      <c r="C17" s="100">
        <v>64.964782</v>
      </c>
      <c r="D17" s="100">
        <v>2.729222</v>
      </c>
      <c r="E17" s="102">
        <v>129.08500000000001</v>
      </c>
      <c r="F17" s="102">
        <f>E17+0.025</f>
        <v>129.11000000000001</v>
      </c>
      <c r="G17" s="100" t="s">
        <v>127</v>
      </c>
      <c r="H17" s="100" t="s">
        <v>125</v>
      </c>
      <c r="I17" s="100" t="s">
        <v>126</v>
      </c>
      <c r="J17" s="101" t="s">
        <v>128</v>
      </c>
    </row>
    <row r="18" spans="1:10" s="81" customFormat="1" ht="12.6">
      <c r="A18" s="100" t="s">
        <v>248</v>
      </c>
      <c r="C18" s="100">
        <v>64.964782</v>
      </c>
      <c r="D18" s="100">
        <v>2.729222</v>
      </c>
      <c r="E18" s="102">
        <v>142.16999999999999</v>
      </c>
      <c r="F18" s="102">
        <f>E18+0.03</f>
        <v>142.19999999999999</v>
      </c>
      <c r="G18" s="100" t="s">
        <v>127</v>
      </c>
      <c r="H18" s="100" t="s">
        <v>125</v>
      </c>
      <c r="I18" s="100" t="s">
        <v>126</v>
      </c>
      <c r="J18" s="101" t="s">
        <v>128</v>
      </c>
    </row>
    <row r="19" spans="1:10" s="81" customFormat="1" ht="12.6">
      <c r="A19" s="100" t="s">
        <v>251</v>
      </c>
      <c r="C19" s="100">
        <v>67.311111111111117</v>
      </c>
      <c r="D19" s="100">
        <v>3.7405555555555554</v>
      </c>
      <c r="E19" s="102">
        <v>143.01</v>
      </c>
      <c r="F19" s="102">
        <f>E19+0.03</f>
        <v>143.04</v>
      </c>
      <c r="G19" s="100" t="s">
        <v>127</v>
      </c>
      <c r="H19" s="100" t="s">
        <v>325</v>
      </c>
      <c r="I19" s="100" t="s">
        <v>126</v>
      </c>
      <c r="J19" s="101" t="s">
        <v>128</v>
      </c>
    </row>
    <row r="20" spans="1:10" s="81" customFormat="1" ht="12.6">
      <c r="A20" s="100" t="s">
        <v>252</v>
      </c>
      <c r="C20" s="100">
        <v>67.311111111111117</v>
      </c>
      <c r="D20" s="100">
        <v>3.7405555555555554</v>
      </c>
      <c r="E20" s="102">
        <v>160.19999999999999</v>
      </c>
      <c r="F20" s="102">
        <f>E20+0.04</f>
        <v>160.23999999999998</v>
      </c>
      <c r="G20" s="100" t="s">
        <v>127</v>
      </c>
      <c r="H20" s="100" t="s">
        <v>325</v>
      </c>
      <c r="I20" s="100" t="s">
        <v>126</v>
      </c>
      <c r="J20" s="101" t="s">
        <v>128</v>
      </c>
    </row>
    <row r="21" spans="1:10" s="81" customFormat="1" ht="12.6">
      <c r="A21" s="100" t="s">
        <v>253</v>
      </c>
      <c r="C21" s="100">
        <v>67.311111111111117</v>
      </c>
      <c r="D21" s="100">
        <v>3.7405555555555554</v>
      </c>
      <c r="E21" s="102">
        <v>167.26</v>
      </c>
      <c r="F21" s="102">
        <f>E21+0.03</f>
        <v>167.29</v>
      </c>
      <c r="G21" s="100" t="s">
        <v>127</v>
      </c>
      <c r="H21" s="100" t="s">
        <v>325</v>
      </c>
      <c r="I21" s="100" t="s">
        <v>126</v>
      </c>
      <c r="J21" s="101" t="s">
        <v>128</v>
      </c>
    </row>
    <row r="22" spans="1:10" s="81" customFormat="1" ht="12.6">
      <c r="A22" s="100" t="s">
        <v>254</v>
      </c>
      <c r="C22" s="100">
        <v>67.311111111111117</v>
      </c>
      <c r="D22" s="100">
        <v>3.7405555555555554</v>
      </c>
      <c r="E22" s="102">
        <v>176.42</v>
      </c>
      <c r="F22" s="102">
        <f>E22+0.03</f>
        <v>176.45</v>
      </c>
      <c r="G22" s="100" t="s">
        <v>127</v>
      </c>
      <c r="H22" s="100" t="s">
        <v>325</v>
      </c>
      <c r="I22" s="100" t="s">
        <v>126</v>
      </c>
      <c r="J22" s="101" t="s">
        <v>128</v>
      </c>
    </row>
    <row r="23" spans="1:10" s="81" customFormat="1" ht="12.6">
      <c r="A23" s="100" t="s">
        <v>255</v>
      </c>
      <c r="C23" s="100">
        <v>67.311111111111117</v>
      </c>
      <c r="D23" s="100">
        <v>3.7405555555555554</v>
      </c>
      <c r="E23" s="102">
        <v>187.02500000000001</v>
      </c>
      <c r="F23" s="102">
        <f>E23+0.035</f>
        <v>187.06</v>
      </c>
      <c r="G23" s="100" t="s">
        <v>127</v>
      </c>
      <c r="H23" s="100" t="s">
        <v>325</v>
      </c>
      <c r="I23" s="100" t="s">
        <v>126</v>
      </c>
      <c r="J23" s="101" t="s">
        <v>128</v>
      </c>
    </row>
    <row r="24" spans="1:10" s="81" customFormat="1" ht="12.6">
      <c r="A24" s="100" t="s">
        <v>256</v>
      </c>
      <c r="C24" s="100">
        <v>67.311111111111117</v>
      </c>
      <c r="D24" s="100">
        <v>3.7405555555555554</v>
      </c>
      <c r="E24" s="102">
        <v>199.58500000000001</v>
      </c>
      <c r="F24" s="102">
        <f>E24+0.03</f>
        <v>199.61500000000001</v>
      </c>
      <c r="G24" s="100" t="s">
        <v>127</v>
      </c>
      <c r="H24" s="100" t="s">
        <v>325</v>
      </c>
      <c r="I24" s="100" t="s">
        <v>126</v>
      </c>
      <c r="J24" s="101" t="s">
        <v>128</v>
      </c>
    </row>
    <row r="25" spans="1:10" s="81" customFormat="1" ht="12.6">
      <c r="A25" s="100" t="s">
        <v>257</v>
      </c>
      <c r="C25" s="100">
        <v>67.311111111111117</v>
      </c>
      <c r="D25" s="100">
        <v>3.7405555555555554</v>
      </c>
      <c r="E25" s="102">
        <v>207.935</v>
      </c>
      <c r="F25" s="102">
        <f>E25+0.04</f>
        <v>207.97499999999999</v>
      </c>
      <c r="G25" s="100" t="s">
        <v>127</v>
      </c>
      <c r="H25" s="100" t="s">
        <v>325</v>
      </c>
      <c r="I25" s="100" t="s">
        <v>126</v>
      </c>
      <c r="J25" s="101" t="s">
        <v>128</v>
      </c>
    </row>
    <row r="26" spans="1:10" s="81" customFormat="1" ht="12.6">
      <c r="A26" s="100" t="s">
        <v>258</v>
      </c>
      <c r="C26" s="100">
        <v>67.311111111111117</v>
      </c>
      <c r="D26" s="100">
        <v>3.7405555555555554</v>
      </c>
      <c r="E26" s="102">
        <v>212.19</v>
      </c>
      <c r="F26" s="102">
        <f t="shared" ref="F26:F32" si="1">E26+0.03</f>
        <v>212.22</v>
      </c>
      <c r="G26" s="100" t="s">
        <v>127</v>
      </c>
      <c r="H26" s="100" t="s">
        <v>325</v>
      </c>
      <c r="I26" s="100" t="s">
        <v>126</v>
      </c>
      <c r="J26" s="101" t="s">
        <v>128</v>
      </c>
    </row>
    <row r="27" spans="1:10" s="81" customFormat="1" ht="12.6">
      <c r="A27" s="100" t="s">
        <v>259</v>
      </c>
      <c r="C27" s="100">
        <v>67.311111111111117</v>
      </c>
      <c r="D27" s="100">
        <v>3.7405555555555554</v>
      </c>
      <c r="E27" s="102">
        <v>219.48</v>
      </c>
      <c r="F27" s="102">
        <f t="shared" si="1"/>
        <v>219.51</v>
      </c>
      <c r="G27" s="100" t="s">
        <v>127</v>
      </c>
      <c r="H27" s="100" t="s">
        <v>325</v>
      </c>
      <c r="I27" s="100" t="s">
        <v>126</v>
      </c>
      <c r="J27" s="101" t="s">
        <v>128</v>
      </c>
    </row>
    <row r="28" spans="1:10" s="81" customFormat="1" ht="12.6">
      <c r="A28" s="100" t="s">
        <v>260</v>
      </c>
      <c r="C28" s="100">
        <v>67.311111111111117</v>
      </c>
      <c r="D28" s="100">
        <v>3.7405555555555554</v>
      </c>
      <c r="E28" s="102">
        <v>228.86</v>
      </c>
      <c r="F28" s="102">
        <f t="shared" si="1"/>
        <v>228.89000000000001</v>
      </c>
      <c r="G28" s="100" t="s">
        <v>127</v>
      </c>
      <c r="H28" s="100" t="s">
        <v>325</v>
      </c>
      <c r="I28" s="100" t="s">
        <v>126</v>
      </c>
      <c r="J28" s="101" t="s">
        <v>128</v>
      </c>
    </row>
    <row r="29" spans="1:10" s="81" customFormat="1" ht="12.6">
      <c r="A29" s="100" t="s">
        <v>261</v>
      </c>
      <c r="C29" s="100">
        <v>67.311111111111117</v>
      </c>
      <c r="D29" s="100">
        <v>3.7405555555555554</v>
      </c>
      <c r="E29" s="102">
        <v>235.36</v>
      </c>
      <c r="F29" s="102">
        <f t="shared" si="1"/>
        <v>235.39000000000001</v>
      </c>
      <c r="G29" s="100" t="s">
        <v>127</v>
      </c>
      <c r="H29" s="100" t="s">
        <v>325</v>
      </c>
      <c r="I29" s="100" t="s">
        <v>126</v>
      </c>
      <c r="J29" s="101" t="s">
        <v>128</v>
      </c>
    </row>
    <row r="30" spans="1:10" s="81" customFormat="1" ht="12.6">
      <c r="A30" s="100" t="s">
        <v>262</v>
      </c>
      <c r="C30" s="100">
        <v>67.311111111111117</v>
      </c>
      <c r="D30" s="100">
        <v>3.7405555555555554</v>
      </c>
      <c r="E30" s="102">
        <v>239.68</v>
      </c>
      <c r="F30" s="102">
        <f t="shared" si="1"/>
        <v>239.71</v>
      </c>
      <c r="G30" s="100" t="s">
        <v>127</v>
      </c>
      <c r="H30" s="100" t="s">
        <v>325</v>
      </c>
      <c r="I30" s="100" t="s">
        <v>126</v>
      </c>
      <c r="J30" s="101" t="s">
        <v>128</v>
      </c>
    </row>
    <row r="31" spans="1:10" s="81" customFormat="1" ht="12.6">
      <c r="A31" s="100" t="s">
        <v>275</v>
      </c>
      <c r="C31" s="100">
        <v>67.340277777777771</v>
      </c>
      <c r="D31" s="100">
        <v>3.6211111111111114</v>
      </c>
      <c r="E31" s="102">
        <v>209.21</v>
      </c>
      <c r="F31" s="102">
        <f t="shared" si="1"/>
        <v>209.24</v>
      </c>
      <c r="G31" s="100" t="s">
        <v>127</v>
      </c>
      <c r="H31" s="100" t="s">
        <v>326</v>
      </c>
      <c r="I31" s="100" t="s">
        <v>126</v>
      </c>
      <c r="J31" s="101" t="s">
        <v>128</v>
      </c>
    </row>
    <row r="32" spans="1:10" s="81" customFormat="1" ht="12.6">
      <c r="A32" s="100" t="s">
        <v>276</v>
      </c>
      <c r="C32" s="100">
        <v>67.340277777777771</v>
      </c>
      <c r="D32" s="100">
        <v>3.6211111111111114</v>
      </c>
      <c r="E32" s="102">
        <v>217.58</v>
      </c>
      <c r="F32" s="102">
        <f t="shared" si="1"/>
        <v>217.61</v>
      </c>
      <c r="G32" s="100" t="s">
        <v>127</v>
      </c>
      <c r="H32" s="100" t="s">
        <v>326</v>
      </c>
      <c r="I32" s="100" t="s">
        <v>126</v>
      </c>
      <c r="J32" s="101" t="s">
        <v>128</v>
      </c>
    </row>
    <row r="33" spans="1:10" s="81" customFormat="1" ht="12.6">
      <c r="A33" s="100" t="s">
        <v>277</v>
      </c>
      <c r="C33" s="100">
        <v>67.340277777777771</v>
      </c>
      <c r="D33" s="100">
        <v>3.6211111111111114</v>
      </c>
      <c r="E33" s="102">
        <v>226.21</v>
      </c>
      <c r="F33" s="102">
        <f>E33+0.035</f>
        <v>226.245</v>
      </c>
      <c r="G33" s="100" t="s">
        <v>127</v>
      </c>
      <c r="H33" s="100" t="s">
        <v>326</v>
      </c>
      <c r="I33" s="100" t="s">
        <v>126</v>
      </c>
      <c r="J33" s="101" t="s">
        <v>128</v>
      </c>
    </row>
    <row r="34" spans="1:10" s="81" customFormat="1" ht="12.6">
      <c r="A34" s="100" t="s">
        <v>278</v>
      </c>
      <c r="C34" s="100">
        <v>67.340277777777771</v>
      </c>
      <c r="D34" s="100">
        <v>3.6211111111111114</v>
      </c>
      <c r="E34" s="102">
        <v>240.21</v>
      </c>
      <c r="F34" s="102">
        <f>E34+0.03</f>
        <v>240.24</v>
      </c>
      <c r="G34" s="100" t="s">
        <v>127</v>
      </c>
      <c r="H34" s="100" t="s">
        <v>326</v>
      </c>
      <c r="I34" s="100" t="s">
        <v>126</v>
      </c>
      <c r="J34" s="101" t="s">
        <v>128</v>
      </c>
    </row>
    <row r="35" spans="1:10" s="81" customFormat="1" ht="12.6">
      <c r="A35" s="100" t="s">
        <v>279</v>
      </c>
      <c r="C35" s="100">
        <v>67.340277777777771</v>
      </c>
      <c r="D35" s="100">
        <v>3.6211111111111114</v>
      </c>
      <c r="E35" s="102">
        <v>258.46499999999997</v>
      </c>
      <c r="F35" s="102">
        <f>E35+0.035</f>
        <v>258.5</v>
      </c>
      <c r="G35" s="100" t="s">
        <v>127</v>
      </c>
      <c r="H35" s="100" t="s">
        <v>326</v>
      </c>
      <c r="I35" s="100" t="s">
        <v>126</v>
      </c>
      <c r="J35" s="101" t="s">
        <v>128</v>
      </c>
    </row>
    <row r="36" spans="1:10" s="81" customFormat="1" ht="12.6">
      <c r="A36" s="100" t="s">
        <v>280</v>
      </c>
      <c r="C36" s="100">
        <v>67.340277777777771</v>
      </c>
      <c r="D36" s="100">
        <v>3.6211111111111114</v>
      </c>
      <c r="E36" s="102">
        <v>265.88499999999999</v>
      </c>
      <c r="F36" s="102">
        <f>E36+0.03</f>
        <v>265.91499999999996</v>
      </c>
      <c r="G36" s="100" t="s">
        <v>127</v>
      </c>
      <c r="H36" s="100" t="s">
        <v>326</v>
      </c>
      <c r="I36" s="100" t="s">
        <v>126</v>
      </c>
      <c r="J36" s="101" t="s">
        <v>128</v>
      </c>
    </row>
    <row r="37" spans="1:10" s="81" customFormat="1" ht="12.6">
      <c r="A37" s="100" t="s">
        <v>281</v>
      </c>
      <c r="C37" s="100">
        <v>67.340277777777771</v>
      </c>
      <c r="D37" s="100">
        <v>3.6211111111111114</v>
      </c>
      <c r="E37" s="102">
        <v>273.06</v>
      </c>
      <c r="F37" s="102">
        <f>E37+0.03</f>
        <v>273.08999999999997</v>
      </c>
      <c r="G37" s="100" t="s">
        <v>127</v>
      </c>
      <c r="H37" s="100" t="s">
        <v>326</v>
      </c>
      <c r="I37" s="100" t="s">
        <v>126</v>
      </c>
      <c r="J37" s="101" t="s">
        <v>128</v>
      </c>
    </row>
    <row r="38" spans="1:10" s="81" customFormat="1" ht="12.6">
      <c r="A38" s="100" t="s">
        <v>282</v>
      </c>
      <c r="C38" s="100">
        <v>67.340277777777771</v>
      </c>
      <c r="D38" s="100">
        <v>3.6211111111111114</v>
      </c>
      <c r="E38" s="102">
        <v>286.60000000000002</v>
      </c>
      <c r="F38" s="102">
        <f>E38+0.03</f>
        <v>286.63</v>
      </c>
      <c r="G38" s="100" t="s">
        <v>127</v>
      </c>
      <c r="H38" s="100" t="s">
        <v>326</v>
      </c>
      <c r="I38" s="100" t="s">
        <v>126</v>
      </c>
      <c r="J38" s="101" t="s">
        <v>128</v>
      </c>
    </row>
    <row r="39" spans="1:10" s="81" customFormat="1" ht="12.6">
      <c r="A39" s="100" t="s">
        <v>283</v>
      </c>
      <c r="C39" s="100">
        <v>67.340277777777771</v>
      </c>
      <c r="D39" s="100">
        <v>3.6211111111111114</v>
      </c>
      <c r="E39" s="102">
        <v>294.73500000000001</v>
      </c>
      <c r="F39" s="102">
        <f>E39+0.03</f>
        <v>294.76499999999999</v>
      </c>
      <c r="G39" s="100" t="s">
        <v>127</v>
      </c>
      <c r="H39" s="100" t="s">
        <v>326</v>
      </c>
      <c r="I39" s="100" t="s">
        <v>126</v>
      </c>
      <c r="J39" s="101" t="s">
        <v>128</v>
      </c>
    </row>
    <row r="40" spans="1:10" s="81" customFormat="1" ht="12.6">
      <c r="A40" s="100" t="s">
        <v>284</v>
      </c>
      <c r="C40" s="100">
        <v>67.340277777777771</v>
      </c>
      <c r="D40" s="100">
        <v>3.6211111111111114</v>
      </c>
      <c r="E40" s="102">
        <v>308.38</v>
      </c>
      <c r="F40" s="102">
        <f>E40+0.03</f>
        <v>308.40999999999997</v>
      </c>
      <c r="G40" s="100" t="s">
        <v>127</v>
      </c>
      <c r="H40" s="100" t="s">
        <v>326</v>
      </c>
      <c r="I40" s="100" t="s">
        <v>126</v>
      </c>
      <c r="J40" s="101" t="s">
        <v>128</v>
      </c>
    </row>
    <row r="41" spans="1:10" s="81" customFormat="1" ht="12.6">
      <c r="A41" s="100" t="s">
        <v>285</v>
      </c>
      <c r="C41" s="100">
        <v>67.340277777777771</v>
      </c>
      <c r="D41" s="100">
        <v>3.6211111111111114</v>
      </c>
      <c r="E41" s="102">
        <v>317.70999999999998</v>
      </c>
      <c r="F41" s="102">
        <f t="shared" ref="F41:F43" si="2">E41+0.03</f>
        <v>317.73999999999995</v>
      </c>
      <c r="G41" s="100" t="s">
        <v>127</v>
      </c>
      <c r="H41" s="100" t="s">
        <v>326</v>
      </c>
      <c r="I41" s="100" t="s">
        <v>126</v>
      </c>
      <c r="J41" s="101" t="s">
        <v>128</v>
      </c>
    </row>
    <row r="42" spans="1:10" s="81" customFormat="1" ht="12.6">
      <c r="A42" s="100" t="s">
        <v>286</v>
      </c>
      <c r="C42" s="100">
        <v>67.331963000000002</v>
      </c>
      <c r="D42" s="100">
        <v>3.6176170000000001</v>
      </c>
      <c r="E42" s="102">
        <v>210.07</v>
      </c>
      <c r="F42" s="102">
        <f t="shared" si="2"/>
        <v>210.1</v>
      </c>
      <c r="G42" s="100" t="s">
        <v>127</v>
      </c>
      <c r="H42" s="100" t="s">
        <v>326</v>
      </c>
      <c r="I42" s="100" t="s">
        <v>126</v>
      </c>
      <c r="J42" s="101" t="s">
        <v>128</v>
      </c>
    </row>
    <row r="43" spans="1:10" s="81" customFormat="1" ht="12.6">
      <c r="A43" s="100" t="s">
        <v>287</v>
      </c>
      <c r="C43" s="100">
        <v>67.331963000000002</v>
      </c>
      <c r="D43" s="100">
        <v>3.6176170000000001</v>
      </c>
      <c r="E43" s="102">
        <v>216.62</v>
      </c>
      <c r="F43" s="102">
        <f t="shared" si="2"/>
        <v>216.65</v>
      </c>
      <c r="G43" s="100" t="s">
        <v>127</v>
      </c>
      <c r="H43" s="100" t="s">
        <v>326</v>
      </c>
      <c r="I43" s="100" t="s">
        <v>126</v>
      </c>
      <c r="J43" s="101" t="s">
        <v>128</v>
      </c>
    </row>
    <row r="44" spans="1:10" s="81" customFormat="1" ht="12.6">
      <c r="A44" s="100" t="s">
        <v>306</v>
      </c>
      <c r="C44" s="100">
        <v>68.767222222222216</v>
      </c>
      <c r="D44" s="100">
        <v>5.8025000000000002</v>
      </c>
      <c r="E44" s="102">
        <v>387.83</v>
      </c>
      <c r="F44" s="102">
        <f>E44+0.03</f>
        <v>387.85999999999996</v>
      </c>
      <c r="G44" s="100" t="s">
        <v>127</v>
      </c>
      <c r="H44" s="100" t="s">
        <v>327</v>
      </c>
      <c r="I44" s="100" t="s">
        <v>126</v>
      </c>
      <c r="J44" s="101" t="s">
        <v>128</v>
      </c>
    </row>
    <row r="45" spans="1:10" s="81" customFormat="1" ht="12.6">
      <c r="A45" s="100" t="s">
        <v>307</v>
      </c>
      <c r="C45" s="100">
        <v>68.767222222222216</v>
      </c>
      <c r="D45" s="100">
        <v>5.8025000000000002</v>
      </c>
      <c r="E45" s="102">
        <v>391.22</v>
      </c>
      <c r="F45" s="102">
        <f t="shared" ref="F45:F48" si="3">E45+0.03</f>
        <v>391.25</v>
      </c>
      <c r="G45" s="100" t="s">
        <v>127</v>
      </c>
      <c r="H45" s="100" t="s">
        <v>327</v>
      </c>
      <c r="I45" s="100" t="s">
        <v>126</v>
      </c>
      <c r="J45" s="101" t="s">
        <v>128</v>
      </c>
    </row>
    <row r="46" spans="1:10" s="81" customFormat="1" ht="12.6">
      <c r="A46" s="100" t="s">
        <v>308</v>
      </c>
      <c r="C46" s="100">
        <v>68.767222222222216</v>
      </c>
      <c r="D46" s="100">
        <v>5.8025000000000002</v>
      </c>
      <c r="E46" s="102">
        <v>406.27499999999998</v>
      </c>
      <c r="F46" s="102">
        <f t="shared" si="3"/>
        <v>406.30499999999995</v>
      </c>
      <c r="G46" s="100" t="s">
        <v>127</v>
      </c>
      <c r="H46" s="100" t="s">
        <v>327</v>
      </c>
      <c r="I46" s="100" t="s">
        <v>126</v>
      </c>
      <c r="J46" s="101" t="s">
        <v>128</v>
      </c>
    </row>
    <row r="47" spans="1:10" s="81" customFormat="1" ht="12.6">
      <c r="A47" s="100" t="s">
        <v>309</v>
      </c>
      <c r="C47" s="100">
        <v>68.767222222222216</v>
      </c>
      <c r="D47" s="100">
        <v>5.8025000000000002</v>
      </c>
      <c r="E47" s="102">
        <v>417.91</v>
      </c>
      <c r="F47" s="102">
        <f t="shared" si="3"/>
        <v>417.94</v>
      </c>
      <c r="G47" s="100" t="s">
        <v>127</v>
      </c>
      <c r="H47" s="100" t="s">
        <v>327</v>
      </c>
      <c r="I47" s="100" t="s">
        <v>126</v>
      </c>
      <c r="J47" s="101" t="s">
        <v>128</v>
      </c>
    </row>
    <row r="48" spans="1:10" s="81" customFormat="1" ht="12.6">
      <c r="A48" s="100" t="s">
        <v>310</v>
      </c>
      <c r="C48" s="100">
        <v>68.767222222222216</v>
      </c>
      <c r="D48" s="100">
        <v>5.8025000000000002</v>
      </c>
      <c r="E48" s="102">
        <v>431.43</v>
      </c>
      <c r="F48" s="102">
        <f t="shared" si="3"/>
        <v>431.46</v>
      </c>
      <c r="G48" s="100" t="s">
        <v>127</v>
      </c>
      <c r="H48" s="100" t="s">
        <v>327</v>
      </c>
      <c r="I48" s="100" t="s">
        <v>126</v>
      </c>
      <c r="J48" s="101" t="s">
        <v>128</v>
      </c>
    </row>
    <row r="49" spans="1:10" s="81" customFormat="1" ht="12.6">
      <c r="A49" s="100" t="s">
        <v>318</v>
      </c>
      <c r="C49" s="100">
        <v>68.600277777777777</v>
      </c>
      <c r="D49" s="100">
        <v>4.6455555555555552</v>
      </c>
      <c r="E49" s="102">
        <v>167.37</v>
      </c>
      <c r="F49" s="102">
        <f>E49+0.03</f>
        <v>167.4</v>
      </c>
      <c r="G49" s="100" t="s">
        <v>127</v>
      </c>
      <c r="H49" s="100" t="s">
        <v>328</v>
      </c>
      <c r="I49" s="100" t="s">
        <v>126</v>
      </c>
      <c r="J49" s="101" t="s">
        <v>128</v>
      </c>
    </row>
    <row r="50" spans="1:10" s="81" customFormat="1" ht="12.6">
      <c r="A50" s="100" t="s">
        <v>319</v>
      </c>
      <c r="C50" s="100">
        <v>68.600277777777777</v>
      </c>
      <c r="D50" s="100">
        <v>4.6455555555555552</v>
      </c>
      <c r="E50" s="102">
        <v>177.01</v>
      </c>
      <c r="F50" s="102">
        <f t="shared" ref="F50:F55" si="4">E50+0.03</f>
        <v>177.04</v>
      </c>
      <c r="G50" s="100" t="s">
        <v>127</v>
      </c>
      <c r="H50" s="100" t="s">
        <v>328</v>
      </c>
      <c r="I50" s="100" t="s">
        <v>126</v>
      </c>
      <c r="J50" s="101" t="s">
        <v>128</v>
      </c>
    </row>
    <row r="51" spans="1:10" s="81" customFormat="1" ht="12.6">
      <c r="A51" s="100" t="s">
        <v>320</v>
      </c>
      <c r="C51" s="100">
        <v>68.600277777777777</v>
      </c>
      <c r="D51" s="100">
        <v>4.6455555555555552</v>
      </c>
      <c r="E51" s="102">
        <v>188.84</v>
      </c>
      <c r="F51" s="102">
        <f t="shared" si="4"/>
        <v>188.87</v>
      </c>
      <c r="G51" s="100" t="s">
        <v>127</v>
      </c>
      <c r="H51" s="100" t="s">
        <v>328</v>
      </c>
      <c r="I51" s="100" t="s">
        <v>126</v>
      </c>
      <c r="J51" s="101" t="s">
        <v>128</v>
      </c>
    </row>
    <row r="52" spans="1:10" s="81" customFormat="1" ht="12.6">
      <c r="A52" s="100" t="s">
        <v>321</v>
      </c>
      <c r="C52" s="100">
        <v>68.600277777777777</v>
      </c>
      <c r="D52" s="100">
        <v>4.6455555555555552</v>
      </c>
      <c r="E52" s="102">
        <v>195.67</v>
      </c>
      <c r="F52" s="102">
        <f t="shared" si="4"/>
        <v>195.7</v>
      </c>
      <c r="G52" s="100" t="s">
        <v>127</v>
      </c>
      <c r="H52" s="100" t="s">
        <v>328</v>
      </c>
      <c r="I52" s="100" t="s">
        <v>126</v>
      </c>
      <c r="J52" s="101" t="s">
        <v>128</v>
      </c>
    </row>
    <row r="53" spans="1:10" s="81" customFormat="1" ht="12.6">
      <c r="A53" s="100" t="s">
        <v>322</v>
      </c>
      <c r="C53" s="100">
        <v>68.600277777777777</v>
      </c>
      <c r="D53" s="100">
        <v>4.6455555555555552</v>
      </c>
      <c r="E53" s="102">
        <v>206.85</v>
      </c>
      <c r="F53" s="102">
        <f t="shared" si="4"/>
        <v>206.88</v>
      </c>
      <c r="G53" s="100" t="s">
        <v>127</v>
      </c>
      <c r="H53" s="100" t="s">
        <v>328</v>
      </c>
      <c r="I53" s="100" t="s">
        <v>126</v>
      </c>
      <c r="J53" s="101" t="s">
        <v>128</v>
      </c>
    </row>
    <row r="54" spans="1:10" s="81" customFormat="1" ht="12.6">
      <c r="A54" s="100" t="s">
        <v>323</v>
      </c>
      <c r="C54" s="100">
        <v>68.600277777777777</v>
      </c>
      <c r="D54" s="100">
        <v>4.6455555555555552</v>
      </c>
      <c r="E54" s="102">
        <v>241.22</v>
      </c>
      <c r="F54" s="102">
        <f t="shared" si="4"/>
        <v>241.25</v>
      </c>
      <c r="G54" s="100" t="s">
        <v>127</v>
      </c>
      <c r="H54" s="100" t="s">
        <v>328</v>
      </c>
      <c r="I54" s="100" t="s">
        <v>126</v>
      </c>
      <c r="J54" s="101" t="s">
        <v>128</v>
      </c>
    </row>
    <row r="55" spans="1:10" s="81" customFormat="1" ht="12.6">
      <c r="A55" s="100" t="s">
        <v>324</v>
      </c>
      <c r="C55" s="100">
        <v>68.600277777777777</v>
      </c>
      <c r="D55" s="100">
        <v>4.6455555555555552</v>
      </c>
      <c r="E55" s="102">
        <v>257.29500000000002</v>
      </c>
      <c r="F55" s="102">
        <f t="shared" si="4"/>
        <v>257.32499999999999</v>
      </c>
      <c r="G55" s="100" t="s">
        <v>127</v>
      </c>
      <c r="H55" s="100" t="s">
        <v>328</v>
      </c>
      <c r="I55" s="100" t="s">
        <v>126</v>
      </c>
      <c r="J55" s="101" t="s">
        <v>128</v>
      </c>
    </row>
    <row r="56" spans="1:10">
      <c r="A56" s="81" t="s">
        <v>341</v>
      </c>
      <c r="C56" s="100">
        <v>64.971111111111114</v>
      </c>
      <c r="D56" s="100">
        <v>2.7608333333333333</v>
      </c>
      <c r="E56" s="1">
        <v>26.89</v>
      </c>
      <c r="F56" s="1">
        <f>E56+0.03</f>
        <v>26.92</v>
      </c>
      <c r="G56" s="100" t="s">
        <v>127</v>
      </c>
      <c r="H56" s="100" t="s">
        <v>125</v>
      </c>
      <c r="I56" s="100" t="s">
        <v>126</v>
      </c>
      <c r="J56" s="101" t="s">
        <v>128</v>
      </c>
    </row>
    <row r="57" spans="1:10">
      <c r="A57" s="81" t="s">
        <v>342</v>
      </c>
      <c r="C57" s="100">
        <v>64.971111111111114</v>
      </c>
      <c r="D57" s="100">
        <v>2.7608333333333333</v>
      </c>
      <c r="E57" s="1">
        <v>37.729999999999997</v>
      </c>
      <c r="F57" s="1">
        <f t="shared" ref="F57:F67" si="5">E57+0.03</f>
        <v>37.76</v>
      </c>
      <c r="G57" s="100" t="s">
        <v>127</v>
      </c>
      <c r="H57" s="100" t="s">
        <v>125</v>
      </c>
      <c r="I57" s="100" t="s">
        <v>126</v>
      </c>
      <c r="J57" s="101" t="s">
        <v>128</v>
      </c>
    </row>
    <row r="58" spans="1:10">
      <c r="A58" s="81" t="s">
        <v>343</v>
      </c>
      <c r="C58" s="100">
        <v>64.971111111111114</v>
      </c>
      <c r="D58" s="100">
        <v>2.7608333333333333</v>
      </c>
      <c r="E58" s="1">
        <v>47.16</v>
      </c>
      <c r="F58" s="1">
        <f t="shared" si="5"/>
        <v>47.19</v>
      </c>
      <c r="G58" s="100" t="s">
        <v>127</v>
      </c>
      <c r="H58" s="100" t="s">
        <v>125</v>
      </c>
      <c r="I58" s="100" t="s">
        <v>126</v>
      </c>
      <c r="J58" s="101" t="s">
        <v>128</v>
      </c>
    </row>
    <row r="59" spans="1:10">
      <c r="A59" s="81" t="s">
        <v>344</v>
      </c>
      <c r="C59" s="100">
        <v>64.971111111111114</v>
      </c>
      <c r="D59" s="100">
        <v>2.7608333333333333</v>
      </c>
      <c r="E59" s="1">
        <v>61.72</v>
      </c>
      <c r="F59" s="1">
        <f t="shared" si="5"/>
        <v>61.75</v>
      </c>
      <c r="G59" s="100" t="s">
        <v>127</v>
      </c>
      <c r="H59" s="100" t="s">
        <v>125</v>
      </c>
      <c r="I59" s="100" t="s">
        <v>126</v>
      </c>
      <c r="J59" s="101" t="s">
        <v>128</v>
      </c>
    </row>
    <row r="60" spans="1:10">
      <c r="A60" s="81" t="s">
        <v>345</v>
      </c>
      <c r="C60" s="100">
        <v>64.971111111111114</v>
      </c>
      <c r="D60" s="100">
        <v>2.7608333333333333</v>
      </c>
      <c r="E60" s="1">
        <v>72.004999999999995</v>
      </c>
      <c r="F60" s="1">
        <f t="shared" si="5"/>
        <v>72.034999999999997</v>
      </c>
      <c r="G60" s="100" t="s">
        <v>127</v>
      </c>
      <c r="H60" s="100" t="s">
        <v>125</v>
      </c>
      <c r="I60" s="100" t="s">
        <v>126</v>
      </c>
      <c r="J60" s="101" t="s">
        <v>128</v>
      </c>
    </row>
    <row r="61" spans="1:10">
      <c r="A61" s="81" t="s">
        <v>346</v>
      </c>
      <c r="C61" s="100">
        <v>64.971111111111114</v>
      </c>
      <c r="D61" s="100">
        <v>2.7608333333333333</v>
      </c>
      <c r="E61" s="1">
        <v>81.72</v>
      </c>
      <c r="F61" s="1">
        <f t="shared" si="5"/>
        <v>81.75</v>
      </c>
      <c r="G61" s="100" t="s">
        <v>127</v>
      </c>
      <c r="H61" s="100" t="s">
        <v>125</v>
      </c>
      <c r="I61" s="100" t="s">
        <v>126</v>
      </c>
      <c r="J61" s="101" t="s">
        <v>128</v>
      </c>
    </row>
    <row r="62" spans="1:10">
      <c r="A62" s="81" t="s">
        <v>347</v>
      </c>
      <c r="C62" s="100">
        <v>64.971111111111114</v>
      </c>
      <c r="D62" s="100">
        <v>2.7608333333333333</v>
      </c>
      <c r="E62" s="1">
        <v>94.92</v>
      </c>
      <c r="F62" s="1">
        <f t="shared" si="5"/>
        <v>94.95</v>
      </c>
      <c r="G62" s="100" t="s">
        <v>127</v>
      </c>
      <c r="H62" s="100" t="s">
        <v>125</v>
      </c>
      <c r="I62" s="100" t="s">
        <v>126</v>
      </c>
      <c r="J62" s="101" t="s">
        <v>128</v>
      </c>
    </row>
    <row r="63" spans="1:10">
      <c r="A63" s="81" t="s">
        <v>348</v>
      </c>
      <c r="C63" s="100">
        <v>64.971111111111114</v>
      </c>
      <c r="D63" s="100">
        <v>2.7608333333333333</v>
      </c>
      <c r="E63" s="1">
        <v>99.95</v>
      </c>
      <c r="F63" s="1">
        <f t="shared" si="5"/>
        <v>99.98</v>
      </c>
      <c r="G63" s="100" t="s">
        <v>127</v>
      </c>
      <c r="H63" s="100" t="s">
        <v>125</v>
      </c>
      <c r="I63" s="100" t="s">
        <v>126</v>
      </c>
      <c r="J63" s="101" t="s">
        <v>128</v>
      </c>
    </row>
    <row r="64" spans="1:10">
      <c r="A64" s="81" t="s">
        <v>349</v>
      </c>
      <c r="C64" s="100">
        <v>64.971111111111114</v>
      </c>
      <c r="D64" s="100">
        <v>2.7608333333333333</v>
      </c>
      <c r="E64" s="1">
        <v>105.05</v>
      </c>
      <c r="F64" s="1">
        <f>E64+0.02</f>
        <v>105.07</v>
      </c>
      <c r="G64" s="100" t="s">
        <v>127</v>
      </c>
      <c r="H64" s="100" t="s">
        <v>125</v>
      </c>
      <c r="I64" s="100" t="s">
        <v>126</v>
      </c>
      <c r="J64" s="101" t="s">
        <v>128</v>
      </c>
    </row>
    <row r="65" spans="1:10">
      <c r="A65" s="81" t="s">
        <v>350</v>
      </c>
      <c r="C65" s="100">
        <v>64.971111111111114</v>
      </c>
      <c r="D65" s="100">
        <v>2.7608333333333333</v>
      </c>
      <c r="E65" s="1">
        <v>115.52500000000001</v>
      </c>
      <c r="F65" s="1">
        <f>E65+0.02</f>
        <v>115.545</v>
      </c>
      <c r="G65" s="100" t="s">
        <v>127</v>
      </c>
      <c r="H65" s="100" t="s">
        <v>125</v>
      </c>
      <c r="I65" s="100" t="s">
        <v>126</v>
      </c>
      <c r="J65" s="101" t="s">
        <v>128</v>
      </c>
    </row>
    <row r="66" spans="1:10">
      <c r="A66" s="81" t="s">
        <v>351</v>
      </c>
      <c r="C66" s="100">
        <v>64.971111111111114</v>
      </c>
      <c r="D66" s="100">
        <v>2.7608333333333333</v>
      </c>
      <c r="E66" s="1">
        <v>135.29</v>
      </c>
      <c r="F66" s="1">
        <f>E66+0.02</f>
        <v>135.31</v>
      </c>
      <c r="G66" s="100" t="s">
        <v>127</v>
      </c>
      <c r="H66" s="100" t="s">
        <v>125</v>
      </c>
      <c r="I66" s="100" t="s">
        <v>126</v>
      </c>
      <c r="J66" s="101" t="s">
        <v>128</v>
      </c>
    </row>
    <row r="67" spans="1:10">
      <c r="A67" s="81" t="s">
        <v>352</v>
      </c>
      <c r="C67" s="100">
        <v>64.971111111111114</v>
      </c>
      <c r="D67" s="100">
        <v>2.7608333333333333</v>
      </c>
      <c r="E67" s="1">
        <v>146.13</v>
      </c>
      <c r="F67" s="1">
        <f t="shared" si="5"/>
        <v>146.16</v>
      </c>
      <c r="G67" s="100" t="s">
        <v>127</v>
      </c>
      <c r="H67" s="100" t="s">
        <v>125</v>
      </c>
      <c r="I67" s="100" t="s">
        <v>126</v>
      </c>
      <c r="J67" s="101" t="s">
        <v>128</v>
      </c>
    </row>
    <row r="68" spans="1:10">
      <c r="A68" s="81" t="s">
        <v>364</v>
      </c>
      <c r="C68" s="100">
        <v>67.311111111111117</v>
      </c>
      <c r="D68" s="100">
        <v>3.7405555555555554</v>
      </c>
      <c r="E68" s="1">
        <v>130.83000000000001</v>
      </c>
      <c r="F68" s="1">
        <f>E68+0.03</f>
        <v>130.86000000000001</v>
      </c>
      <c r="G68" s="100" t="s">
        <v>127</v>
      </c>
      <c r="H68" s="100" t="s">
        <v>325</v>
      </c>
      <c r="I68" s="100" t="s">
        <v>126</v>
      </c>
      <c r="J68" s="101" t="s">
        <v>128</v>
      </c>
    </row>
    <row r="69" spans="1:10">
      <c r="A69" s="81" t="s">
        <v>365</v>
      </c>
      <c r="C69" s="100">
        <v>67.311111111111117</v>
      </c>
      <c r="D69" s="100">
        <v>3.7405555555555554</v>
      </c>
      <c r="E69" s="1">
        <v>156.06</v>
      </c>
      <c r="F69" s="1">
        <f t="shared" ref="F69:F79" si="6">E69+0.03</f>
        <v>156.09</v>
      </c>
      <c r="G69" s="100" t="s">
        <v>127</v>
      </c>
      <c r="H69" s="100" t="s">
        <v>325</v>
      </c>
      <c r="I69" s="100" t="s">
        <v>126</v>
      </c>
      <c r="J69" s="101" t="s">
        <v>128</v>
      </c>
    </row>
    <row r="70" spans="1:10">
      <c r="A70" s="81" t="s">
        <v>366</v>
      </c>
      <c r="C70" s="100">
        <v>67.311111111111117</v>
      </c>
      <c r="D70" s="100">
        <v>3.7405555555555554</v>
      </c>
      <c r="E70" s="1">
        <v>160.19999999999999</v>
      </c>
      <c r="F70" s="1">
        <f t="shared" si="6"/>
        <v>160.22999999999999</v>
      </c>
      <c r="G70" s="100" t="s">
        <v>127</v>
      </c>
      <c r="H70" s="100" t="s">
        <v>325</v>
      </c>
      <c r="I70" s="100" t="s">
        <v>126</v>
      </c>
      <c r="J70" s="101" t="s">
        <v>128</v>
      </c>
    </row>
    <row r="71" spans="1:10">
      <c r="A71" s="81" t="s">
        <v>367</v>
      </c>
      <c r="C71" s="100">
        <v>67.311111111111117</v>
      </c>
      <c r="D71" s="100">
        <v>3.7405555555555554</v>
      </c>
      <c r="E71" s="1">
        <v>170.67</v>
      </c>
      <c r="F71" s="1">
        <f t="shared" si="6"/>
        <v>170.7</v>
      </c>
      <c r="G71" s="100" t="s">
        <v>127</v>
      </c>
      <c r="H71" s="100" t="s">
        <v>325</v>
      </c>
      <c r="I71" s="100" t="s">
        <v>126</v>
      </c>
      <c r="J71" s="101" t="s">
        <v>128</v>
      </c>
    </row>
    <row r="72" spans="1:10">
      <c r="A72" s="81" t="s">
        <v>368</v>
      </c>
      <c r="C72" s="100">
        <v>67.311111111111117</v>
      </c>
      <c r="D72" s="100">
        <v>3.7405555555555554</v>
      </c>
      <c r="E72" s="1">
        <v>179.435</v>
      </c>
      <c r="F72" s="1">
        <f t="shared" si="6"/>
        <v>179.465</v>
      </c>
      <c r="G72" s="100" t="s">
        <v>127</v>
      </c>
      <c r="H72" s="100" t="s">
        <v>325</v>
      </c>
      <c r="I72" s="100" t="s">
        <v>126</v>
      </c>
      <c r="J72" s="101" t="s">
        <v>128</v>
      </c>
    </row>
    <row r="73" spans="1:10">
      <c r="A73" s="81" t="s">
        <v>369</v>
      </c>
      <c r="C73" s="100">
        <v>67.311111111111117</v>
      </c>
      <c r="D73" s="100">
        <v>3.7405555555555554</v>
      </c>
      <c r="E73" s="1">
        <v>194.7</v>
      </c>
      <c r="F73" s="1">
        <f t="shared" si="6"/>
        <v>194.73</v>
      </c>
      <c r="G73" s="100" t="s">
        <v>127</v>
      </c>
      <c r="H73" s="100" t="s">
        <v>325</v>
      </c>
      <c r="I73" s="100" t="s">
        <v>126</v>
      </c>
      <c r="J73" s="101" t="s">
        <v>128</v>
      </c>
    </row>
    <row r="74" spans="1:10">
      <c r="A74" s="81" t="s">
        <v>370</v>
      </c>
      <c r="C74" s="100">
        <v>67.311111111111117</v>
      </c>
      <c r="D74" s="100">
        <v>3.7405555555555554</v>
      </c>
      <c r="E74" s="1">
        <v>205.535</v>
      </c>
      <c r="F74" s="1">
        <f>E74+0.04</f>
        <v>205.57499999999999</v>
      </c>
      <c r="G74" s="100" t="s">
        <v>127</v>
      </c>
      <c r="H74" s="100" t="s">
        <v>325</v>
      </c>
      <c r="I74" s="100" t="s">
        <v>126</v>
      </c>
      <c r="J74" s="101" t="s">
        <v>128</v>
      </c>
    </row>
    <row r="75" spans="1:10">
      <c r="A75" s="81" t="s">
        <v>375</v>
      </c>
      <c r="C75" s="100">
        <v>67.311111111111117</v>
      </c>
      <c r="D75" s="100">
        <v>3.7405555555555554</v>
      </c>
      <c r="E75" s="1">
        <v>211.11</v>
      </c>
      <c r="F75" s="1">
        <f>E75+0.04</f>
        <v>211.15</v>
      </c>
      <c r="G75" s="100" t="s">
        <v>127</v>
      </c>
      <c r="H75" s="100" t="s">
        <v>325</v>
      </c>
      <c r="I75" s="100" t="s">
        <v>126</v>
      </c>
      <c r="J75" s="101" t="s">
        <v>128</v>
      </c>
    </row>
    <row r="76" spans="1:10">
      <c r="A76" s="81" t="s">
        <v>371</v>
      </c>
      <c r="C76" s="100">
        <v>67.311111111111117</v>
      </c>
      <c r="D76" s="100">
        <v>3.7405555555555554</v>
      </c>
      <c r="E76" s="1">
        <v>214.13499999999999</v>
      </c>
      <c r="F76" s="1">
        <f t="shared" si="6"/>
        <v>214.16499999999999</v>
      </c>
      <c r="G76" s="100" t="s">
        <v>127</v>
      </c>
      <c r="H76" s="100" t="s">
        <v>325</v>
      </c>
      <c r="I76" s="100" t="s">
        <v>126</v>
      </c>
      <c r="J76" s="101" t="s">
        <v>128</v>
      </c>
    </row>
    <row r="77" spans="1:10">
      <c r="A77" s="81" t="s">
        <v>372</v>
      </c>
      <c r="C77" s="100">
        <v>67.311111111111117</v>
      </c>
      <c r="D77" s="100">
        <v>3.7405555555555554</v>
      </c>
      <c r="E77" s="1">
        <v>225.99</v>
      </c>
      <c r="F77" s="1">
        <f t="shared" si="6"/>
        <v>226.02</v>
      </c>
      <c r="G77" s="100" t="s">
        <v>127</v>
      </c>
      <c r="H77" s="100" t="s">
        <v>325</v>
      </c>
      <c r="I77" s="100" t="s">
        <v>126</v>
      </c>
      <c r="J77" s="101" t="s">
        <v>128</v>
      </c>
    </row>
    <row r="78" spans="1:10">
      <c r="A78" s="81" t="s">
        <v>373</v>
      </c>
      <c r="C78" s="100">
        <v>67.311111111111117</v>
      </c>
      <c r="D78" s="100">
        <v>3.7405555555555554</v>
      </c>
      <c r="E78" s="1">
        <v>231.17</v>
      </c>
      <c r="F78" s="1">
        <f t="shared" si="6"/>
        <v>231.2</v>
      </c>
      <c r="G78" s="100" t="s">
        <v>127</v>
      </c>
      <c r="H78" s="100" t="s">
        <v>325</v>
      </c>
      <c r="I78" s="100" t="s">
        <v>126</v>
      </c>
      <c r="J78" s="101" t="s">
        <v>128</v>
      </c>
    </row>
    <row r="79" spans="1:10">
      <c r="A79" s="81" t="s">
        <v>374</v>
      </c>
      <c r="C79" s="100">
        <v>67.311111111111117</v>
      </c>
      <c r="D79" s="100">
        <v>3.7405555555555554</v>
      </c>
      <c r="E79" s="1">
        <v>239.68</v>
      </c>
      <c r="F79" s="1">
        <f t="shared" si="6"/>
        <v>239.71</v>
      </c>
      <c r="G79" s="100" t="s">
        <v>127</v>
      </c>
      <c r="H79" s="100" t="s">
        <v>325</v>
      </c>
      <c r="I79" s="100" t="s">
        <v>126</v>
      </c>
      <c r="J79" s="101" t="s">
        <v>128</v>
      </c>
    </row>
    <row r="80" spans="1:10">
      <c r="A80" s="81" t="s">
        <v>403</v>
      </c>
      <c r="C80" s="100">
        <v>67.340277777777771</v>
      </c>
      <c r="D80" s="100">
        <v>3.6211111111111114</v>
      </c>
      <c r="E80" s="1">
        <v>209.63</v>
      </c>
      <c r="F80" s="1">
        <f>E80+0.03</f>
        <v>209.66</v>
      </c>
      <c r="G80" s="100" t="s">
        <v>127</v>
      </c>
      <c r="H80" s="100" t="s">
        <v>326</v>
      </c>
      <c r="I80" s="100" t="s">
        <v>126</v>
      </c>
      <c r="J80" s="101" t="s">
        <v>128</v>
      </c>
    </row>
    <row r="81" spans="1:10">
      <c r="A81" s="81" t="s">
        <v>404</v>
      </c>
      <c r="C81" s="100">
        <v>67.340277777777771</v>
      </c>
      <c r="D81" s="100">
        <v>3.6211111111111114</v>
      </c>
      <c r="E81" s="1">
        <v>214.01</v>
      </c>
      <c r="F81" s="1">
        <f t="shared" ref="F81:F97" si="7">E81+0.03</f>
        <v>214.04</v>
      </c>
      <c r="G81" s="100" t="s">
        <v>127</v>
      </c>
      <c r="H81" s="100" t="s">
        <v>326</v>
      </c>
      <c r="I81" s="100" t="s">
        <v>126</v>
      </c>
      <c r="J81" s="101" t="s">
        <v>128</v>
      </c>
    </row>
    <row r="82" spans="1:10">
      <c r="A82" s="81" t="s">
        <v>405</v>
      </c>
      <c r="C82" s="100">
        <v>67.340277777777771</v>
      </c>
      <c r="D82" s="100">
        <v>3.6211111111111114</v>
      </c>
      <c r="E82" s="1">
        <v>220.05</v>
      </c>
      <c r="F82" s="1">
        <f t="shared" si="7"/>
        <v>220.08</v>
      </c>
      <c r="G82" s="100" t="s">
        <v>127</v>
      </c>
      <c r="H82" s="100" t="s">
        <v>326</v>
      </c>
      <c r="I82" s="100" t="s">
        <v>126</v>
      </c>
      <c r="J82" s="101" t="s">
        <v>128</v>
      </c>
    </row>
    <row r="83" spans="1:10">
      <c r="A83" s="81" t="s">
        <v>406</v>
      </c>
      <c r="C83" s="100">
        <v>67.340277777777771</v>
      </c>
      <c r="D83" s="100">
        <v>3.6211111111111114</v>
      </c>
      <c r="E83" s="1">
        <v>229.87</v>
      </c>
      <c r="F83" s="1">
        <f t="shared" si="7"/>
        <v>229.9</v>
      </c>
      <c r="G83" s="100" t="s">
        <v>127</v>
      </c>
      <c r="H83" s="100" t="s">
        <v>326</v>
      </c>
      <c r="I83" s="100" t="s">
        <v>126</v>
      </c>
      <c r="J83" s="101" t="s">
        <v>128</v>
      </c>
    </row>
    <row r="84" spans="1:10">
      <c r="A84" s="81" t="s">
        <v>407</v>
      </c>
      <c r="C84" s="100">
        <v>67.340277777777771</v>
      </c>
      <c r="D84" s="100">
        <v>3.6211111111111114</v>
      </c>
      <c r="E84" s="1">
        <v>250.84</v>
      </c>
      <c r="F84" s="1">
        <f t="shared" si="7"/>
        <v>250.87</v>
      </c>
      <c r="G84" s="100" t="s">
        <v>127</v>
      </c>
      <c r="H84" s="100" t="s">
        <v>326</v>
      </c>
      <c r="I84" s="100" t="s">
        <v>126</v>
      </c>
      <c r="J84" s="101" t="s">
        <v>128</v>
      </c>
    </row>
    <row r="85" spans="1:10">
      <c r="A85" s="81" t="s">
        <v>408</v>
      </c>
      <c r="C85" s="100">
        <v>67.340277777777771</v>
      </c>
      <c r="D85" s="100">
        <v>3.6211111111111114</v>
      </c>
      <c r="E85" s="1">
        <v>260.69499999999999</v>
      </c>
      <c r="F85" s="1">
        <f t="shared" si="7"/>
        <v>260.72499999999997</v>
      </c>
      <c r="G85" s="100" t="s">
        <v>127</v>
      </c>
      <c r="H85" s="100" t="s">
        <v>326</v>
      </c>
      <c r="I85" s="100" t="s">
        <v>126</v>
      </c>
      <c r="J85" s="101" t="s">
        <v>128</v>
      </c>
    </row>
    <row r="86" spans="1:10">
      <c r="A86" s="81" t="s">
        <v>409</v>
      </c>
      <c r="C86" s="100">
        <v>67.340277777777771</v>
      </c>
      <c r="D86" s="100">
        <v>3.6211111111111114</v>
      </c>
      <c r="E86" s="1">
        <v>270.64</v>
      </c>
      <c r="F86" s="1">
        <f>E86+0.035</f>
        <v>270.67500000000001</v>
      </c>
      <c r="G86" s="100" t="s">
        <v>127</v>
      </c>
      <c r="H86" s="100" t="s">
        <v>326</v>
      </c>
      <c r="I86" s="100" t="s">
        <v>126</v>
      </c>
      <c r="J86" s="101" t="s">
        <v>128</v>
      </c>
    </row>
    <row r="87" spans="1:10">
      <c r="A87" s="81" t="s">
        <v>410</v>
      </c>
      <c r="C87" s="100">
        <v>67.340277777777771</v>
      </c>
      <c r="D87" s="100">
        <v>3.6211111111111114</v>
      </c>
      <c r="E87" s="1">
        <v>282.57</v>
      </c>
      <c r="F87" s="1">
        <f t="shared" si="7"/>
        <v>282.59999999999997</v>
      </c>
      <c r="G87" s="100" t="s">
        <v>127</v>
      </c>
      <c r="H87" s="100" t="s">
        <v>326</v>
      </c>
      <c r="I87" s="100" t="s">
        <v>126</v>
      </c>
      <c r="J87" s="101" t="s">
        <v>128</v>
      </c>
    </row>
    <row r="88" spans="1:10">
      <c r="A88" s="81" t="s">
        <v>411</v>
      </c>
      <c r="C88" s="100">
        <v>67.340277777777771</v>
      </c>
      <c r="D88" s="100">
        <v>3.6211111111111114</v>
      </c>
      <c r="E88" s="1">
        <v>288.20499999999998</v>
      </c>
      <c r="F88" s="1">
        <f t="shared" si="7"/>
        <v>288.23499999999996</v>
      </c>
      <c r="G88" s="100" t="s">
        <v>127</v>
      </c>
      <c r="H88" s="100" t="s">
        <v>326</v>
      </c>
      <c r="I88" s="100" t="s">
        <v>126</v>
      </c>
      <c r="J88" s="101" t="s">
        <v>128</v>
      </c>
    </row>
    <row r="89" spans="1:10">
      <c r="A89" s="81" t="s">
        <v>412</v>
      </c>
      <c r="C89" s="100">
        <v>67.340277777777771</v>
      </c>
      <c r="D89" s="100">
        <v>3.6211111111111114</v>
      </c>
      <c r="E89" s="1">
        <v>303.41500000000002</v>
      </c>
      <c r="F89" s="1">
        <f t="shared" si="7"/>
        <v>303.44499999999999</v>
      </c>
      <c r="G89" s="100" t="s">
        <v>127</v>
      </c>
      <c r="H89" s="100" t="s">
        <v>326</v>
      </c>
      <c r="I89" s="100" t="s">
        <v>126</v>
      </c>
      <c r="J89" s="101" t="s">
        <v>128</v>
      </c>
    </row>
    <row r="90" spans="1:10">
      <c r="A90" s="81" t="s">
        <v>413</v>
      </c>
      <c r="C90" s="100">
        <v>67.340277777777771</v>
      </c>
      <c r="D90" s="100">
        <v>3.6211111111111114</v>
      </c>
      <c r="E90" s="1">
        <v>312.22500000000002</v>
      </c>
      <c r="F90" s="1">
        <f t="shared" si="7"/>
        <v>312.255</v>
      </c>
      <c r="G90" s="100" t="s">
        <v>127</v>
      </c>
      <c r="H90" s="100" t="s">
        <v>326</v>
      </c>
      <c r="I90" s="100" t="s">
        <v>126</v>
      </c>
      <c r="J90" s="101" t="s">
        <v>128</v>
      </c>
    </row>
    <row r="91" spans="1:10">
      <c r="A91" s="81" t="s">
        <v>395</v>
      </c>
      <c r="C91" s="100">
        <v>67.340277777777771</v>
      </c>
      <c r="D91" s="100">
        <v>3.6211111111111114</v>
      </c>
      <c r="E91" s="1">
        <v>322.12</v>
      </c>
      <c r="F91" s="1">
        <f t="shared" si="7"/>
        <v>322.14999999999998</v>
      </c>
      <c r="G91" s="100" t="s">
        <v>127</v>
      </c>
      <c r="H91" s="100" t="s">
        <v>326</v>
      </c>
      <c r="I91" s="100" t="s">
        <v>126</v>
      </c>
      <c r="J91" s="101" t="s">
        <v>128</v>
      </c>
    </row>
    <row r="92" spans="1:10">
      <c r="A92" s="81" t="s">
        <v>396</v>
      </c>
      <c r="C92" s="100">
        <v>67.331963000000002</v>
      </c>
      <c r="D92" s="100">
        <v>3.6176170000000001</v>
      </c>
      <c r="E92" s="1">
        <v>210.88</v>
      </c>
      <c r="F92" s="1">
        <f t="shared" si="7"/>
        <v>210.91</v>
      </c>
      <c r="G92" s="100" t="s">
        <v>127</v>
      </c>
      <c r="H92" s="100" t="s">
        <v>326</v>
      </c>
      <c r="I92" s="100" t="s">
        <v>126</v>
      </c>
      <c r="J92" s="101" t="s">
        <v>128</v>
      </c>
    </row>
    <row r="93" spans="1:10">
      <c r="A93" s="81" t="s">
        <v>397</v>
      </c>
      <c r="C93" s="100">
        <v>68.767222222222216</v>
      </c>
      <c r="D93" s="100">
        <v>5.8025000000000002</v>
      </c>
      <c r="E93" s="1">
        <v>382.09</v>
      </c>
      <c r="F93" s="1">
        <f>E93+0.03</f>
        <v>382.11999999999995</v>
      </c>
      <c r="G93" s="100" t="s">
        <v>127</v>
      </c>
      <c r="H93" s="100" t="s">
        <v>327</v>
      </c>
      <c r="I93" s="100" t="s">
        <v>126</v>
      </c>
      <c r="J93" s="101" t="s">
        <v>128</v>
      </c>
    </row>
    <row r="94" spans="1:10">
      <c r="A94" s="81" t="s">
        <v>398</v>
      </c>
      <c r="C94" s="100">
        <v>68.767222222222216</v>
      </c>
      <c r="D94" s="100">
        <v>5.8025000000000002</v>
      </c>
      <c r="E94" s="1">
        <v>389.89</v>
      </c>
      <c r="F94" s="1">
        <f>E94+0.03</f>
        <v>389.91999999999996</v>
      </c>
      <c r="G94" s="100" t="s">
        <v>127</v>
      </c>
      <c r="H94" s="100" t="s">
        <v>327</v>
      </c>
      <c r="I94" s="100" t="s">
        <v>126</v>
      </c>
      <c r="J94" s="101" t="s">
        <v>128</v>
      </c>
    </row>
    <row r="95" spans="1:10">
      <c r="A95" s="81" t="s">
        <v>399</v>
      </c>
      <c r="C95" s="100">
        <v>68.767222222222216</v>
      </c>
      <c r="D95" s="100">
        <v>5.8025000000000002</v>
      </c>
      <c r="E95" s="1">
        <v>400.40499999999997</v>
      </c>
      <c r="F95" s="1">
        <f>E95+0.03</f>
        <v>400.43499999999995</v>
      </c>
      <c r="G95" s="100" t="s">
        <v>127</v>
      </c>
      <c r="H95" s="100" t="s">
        <v>327</v>
      </c>
      <c r="I95" s="100" t="s">
        <v>126</v>
      </c>
      <c r="J95" s="101" t="s">
        <v>128</v>
      </c>
    </row>
    <row r="96" spans="1:10">
      <c r="A96" s="81" t="s">
        <v>400</v>
      </c>
      <c r="C96" s="100">
        <v>68.767222222222216</v>
      </c>
      <c r="D96" s="100">
        <v>5.8025000000000002</v>
      </c>
      <c r="E96" s="1">
        <v>415.69499999999999</v>
      </c>
      <c r="F96" s="1">
        <f>E96+0.03</f>
        <v>415.72499999999997</v>
      </c>
      <c r="G96" s="100" t="s">
        <v>127</v>
      </c>
      <c r="H96" s="100" t="s">
        <v>327</v>
      </c>
      <c r="I96" s="100" t="s">
        <v>126</v>
      </c>
      <c r="J96" s="101" t="s">
        <v>128</v>
      </c>
    </row>
    <row r="97" spans="1:10">
      <c r="A97" s="81" t="s">
        <v>401</v>
      </c>
      <c r="C97" s="100">
        <v>68.767222222222216</v>
      </c>
      <c r="D97" s="100">
        <v>5.8025000000000002</v>
      </c>
      <c r="E97" s="1">
        <v>425.56</v>
      </c>
      <c r="F97" s="1">
        <f t="shared" si="7"/>
        <v>425.59</v>
      </c>
      <c r="G97" s="100" t="s">
        <v>127</v>
      </c>
      <c r="H97" s="100" t="s">
        <v>327</v>
      </c>
      <c r="I97" s="100" t="s">
        <v>126</v>
      </c>
      <c r="J97" s="101" t="s">
        <v>128</v>
      </c>
    </row>
    <row r="98" spans="1:10">
      <c r="A98" s="81" t="s">
        <v>402</v>
      </c>
      <c r="C98" s="100">
        <v>68.767222222222202</v>
      </c>
      <c r="D98" s="100">
        <v>5.8025000000000002</v>
      </c>
      <c r="E98" s="1">
        <v>436.28</v>
      </c>
      <c r="F98" s="1">
        <f>E98+0.02</f>
        <v>436.29999999999995</v>
      </c>
      <c r="G98" s="100" t="s">
        <v>127</v>
      </c>
      <c r="H98" s="100" t="s">
        <v>327</v>
      </c>
      <c r="I98" s="100" t="s">
        <v>126</v>
      </c>
      <c r="J98" s="101" t="s">
        <v>128</v>
      </c>
    </row>
    <row r="99" spans="1:10">
      <c r="A99" s="81" t="s">
        <v>420</v>
      </c>
      <c r="C99" s="100">
        <v>68.600277777777777</v>
      </c>
      <c r="D99" s="100">
        <v>4.6455555555555552</v>
      </c>
      <c r="E99" s="1">
        <v>174.03</v>
      </c>
      <c r="F99" s="1">
        <f>E99+0.03</f>
        <v>174.06</v>
      </c>
      <c r="G99" s="100" t="s">
        <v>127</v>
      </c>
      <c r="H99" s="100" t="s">
        <v>328</v>
      </c>
      <c r="I99" s="100" t="s">
        <v>126</v>
      </c>
      <c r="J99" s="101" t="s">
        <v>128</v>
      </c>
    </row>
    <row r="100" spans="1:10">
      <c r="A100" s="81" t="s">
        <v>421</v>
      </c>
      <c r="C100" s="100">
        <v>68.600277777777777</v>
      </c>
      <c r="D100" s="100">
        <v>4.6455555555555552</v>
      </c>
      <c r="E100" s="1">
        <v>183.77</v>
      </c>
      <c r="F100" s="1">
        <f t="shared" ref="F100:F104" si="8">E100+0.03</f>
        <v>183.8</v>
      </c>
      <c r="G100" s="100" t="s">
        <v>127</v>
      </c>
      <c r="H100" s="100" t="s">
        <v>328</v>
      </c>
      <c r="I100" s="100" t="s">
        <v>126</v>
      </c>
      <c r="J100" s="101" t="s">
        <v>128</v>
      </c>
    </row>
    <row r="101" spans="1:10">
      <c r="A101" s="81" t="s">
        <v>422</v>
      </c>
      <c r="C101" s="100">
        <v>68.600277777777777</v>
      </c>
      <c r="D101" s="100">
        <v>4.6455555555555552</v>
      </c>
      <c r="E101" s="1">
        <v>194.45</v>
      </c>
      <c r="F101" s="1">
        <f t="shared" si="8"/>
        <v>194.48</v>
      </c>
      <c r="G101" s="100" t="s">
        <v>127</v>
      </c>
      <c r="H101" s="100" t="s">
        <v>328</v>
      </c>
      <c r="I101" s="100" t="s">
        <v>126</v>
      </c>
      <c r="J101" s="101" t="s">
        <v>128</v>
      </c>
    </row>
    <row r="102" spans="1:10">
      <c r="A102" s="81" t="s">
        <v>423</v>
      </c>
      <c r="C102" s="100">
        <v>68.600277777777777</v>
      </c>
      <c r="D102" s="100">
        <v>4.6455555555555552</v>
      </c>
      <c r="E102" s="1">
        <v>204.28</v>
      </c>
      <c r="F102" s="1">
        <f t="shared" si="8"/>
        <v>204.31</v>
      </c>
      <c r="G102" s="100" t="s">
        <v>127</v>
      </c>
      <c r="H102" s="100" t="s">
        <v>328</v>
      </c>
      <c r="I102" s="100" t="s">
        <v>126</v>
      </c>
      <c r="J102" s="101" t="s">
        <v>128</v>
      </c>
    </row>
    <row r="103" spans="1:10">
      <c r="A103" s="81" t="s">
        <v>424</v>
      </c>
      <c r="C103" s="100">
        <v>68.600277777777777</v>
      </c>
      <c r="D103" s="100">
        <v>4.6455555555555552</v>
      </c>
      <c r="E103" s="1">
        <v>236.435</v>
      </c>
      <c r="F103" s="1">
        <f t="shared" si="8"/>
        <v>236.465</v>
      </c>
      <c r="G103" s="100" t="s">
        <v>127</v>
      </c>
      <c r="H103" s="100" t="s">
        <v>328</v>
      </c>
      <c r="I103" s="100" t="s">
        <v>126</v>
      </c>
      <c r="J103" s="101" t="s">
        <v>128</v>
      </c>
    </row>
    <row r="104" spans="1:10">
      <c r="A104" s="81" t="s">
        <v>425</v>
      </c>
      <c r="C104" s="100">
        <v>68.600277777777777</v>
      </c>
      <c r="D104" s="100">
        <v>4.6455555555555552</v>
      </c>
      <c r="E104" s="1">
        <v>252.06</v>
      </c>
      <c r="F104" s="1">
        <f t="shared" si="8"/>
        <v>252.09</v>
      </c>
      <c r="G104" s="100" t="s">
        <v>127</v>
      </c>
      <c r="H104" s="100" t="s">
        <v>328</v>
      </c>
      <c r="I104" s="100" t="s">
        <v>126</v>
      </c>
      <c r="J104" s="101" t="s">
        <v>128</v>
      </c>
    </row>
    <row r="105" spans="1:10">
      <c r="A105" s="81" t="s">
        <v>426</v>
      </c>
      <c r="C105" s="100">
        <v>64.962675000000004</v>
      </c>
      <c r="D105" s="100">
        <v>2.749822</v>
      </c>
      <c r="E105" s="1">
        <f>23.2+0.11</f>
        <v>23.31</v>
      </c>
      <c r="F105" s="1">
        <f>23.2+0.16</f>
        <v>23.36</v>
      </c>
      <c r="G105" s="100" t="s">
        <v>127</v>
      </c>
      <c r="H105" s="100" t="s">
        <v>439</v>
      </c>
      <c r="I105" s="100" t="s">
        <v>126</v>
      </c>
      <c r="J105" s="101" t="s">
        <v>128</v>
      </c>
    </row>
    <row r="106" spans="1:10">
      <c r="A106" s="81" t="s">
        <v>427</v>
      </c>
      <c r="C106" s="100">
        <v>64.962675000000004</v>
      </c>
      <c r="D106" s="100">
        <v>2.749822</v>
      </c>
      <c r="E106" s="1">
        <f>24.65+0.87</f>
        <v>25.52</v>
      </c>
      <c r="F106" s="1">
        <f>24.65+0.95</f>
        <v>25.599999999999998</v>
      </c>
      <c r="G106" s="100" t="s">
        <v>127</v>
      </c>
      <c r="H106" s="100" t="s">
        <v>439</v>
      </c>
      <c r="I106" s="100" t="s">
        <v>126</v>
      </c>
      <c r="J106" s="101" t="s">
        <v>128</v>
      </c>
    </row>
    <row r="107" spans="1:10">
      <c r="A107" s="81" t="s">
        <v>428</v>
      </c>
      <c r="C107" s="100">
        <v>64.964782</v>
      </c>
      <c r="D107" s="100">
        <v>2.729222</v>
      </c>
      <c r="E107" s="1">
        <f>152.5+0.64</f>
        <v>153.13999999999999</v>
      </c>
      <c r="F107" s="1">
        <f>152.5+0.7</f>
        <v>153.19999999999999</v>
      </c>
      <c r="G107" s="100" t="s">
        <v>127</v>
      </c>
      <c r="H107" s="100" t="s">
        <v>125</v>
      </c>
      <c r="I107" s="100" t="s">
        <v>126</v>
      </c>
      <c r="J107" s="101" t="s">
        <v>128</v>
      </c>
    </row>
    <row r="108" spans="1:10">
      <c r="A108" s="81" t="s">
        <v>429</v>
      </c>
      <c r="C108" s="100">
        <v>64.964782</v>
      </c>
      <c r="D108" s="100">
        <v>2.729222</v>
      </c>
      <c r="E108" s="1">
        <f>157.4+0.18</f>
        <v>157.58000000000001</v>
      </c>
      <c r="F108" s="1">
        <f>157.4+0.22</f>
        <v>157.62</v>
      </c>
      <c r="G108" s="100" t="s">
        <v>127</v>
      </c>
      <c r="H108" s="100" t="s">
        <v>125</v>
      </c>
      <c r="I108" s="100" t="s">
        <v>126</v>
      </c>
      <c r="J108" s="101" t="s">
        <v>128</v>
      </c>
    </row>
    <row r="109" spans="1:10">
      <c r="A109" s="81" t="s">
        <v>430</v>
      </c>
      <c r="C109" s="100">
        <v>64.964782</v>
      </c>
      <c r="D109" s="100">
        <v>2.729222</v>
      </c>
      <c r="E109" s="1">
        <f>162.3+0.57</f>
        <v>162.87</v>
      </c>
      <c r="F109" s="1">
        <f>162.3+0.61</f>
        <v>162.91000000000003</v>
      </c>
      <c r="G109" s="100" t="s">
        <v>127</v>
      </c>
      <c r="H109" s="100" t="s">
        <v>125</v>
      </c>
      <c r="I109" s="100" t="s">
        <v>126</v>
      </c>
      <c r="J109" s="101" t="s">
        <v>128</v>
      </c>
    </row>
    <row r="110" spans="1:10">
      <c r="A110" s="81" t="s">
        <v>431</v>
      </c>
      <c r="C110" s="100">
        <v>64.964782</v>
      </c>
      <c r="D110" s="100">
        <v>2.729222</v>
      </c>
      <c r="E110" s="1">
        <f>162.3+0.51</f>
        <v>162.81</v>
      </c>
      <c r="F110" s="1">
        <f>162.3+0.54</f>
        <v>162.84</v>
      </c>
      <c r="G110" s="100" t="s">
        <v>127</v>
      </c>
      <c r="H110" s="100" t="s">
        <v>125</v>
      </c>
      <c r="I110" s="100" t="s">
        <v>126</v>
      </c>
      <c r="J110" s="101" t="s">
        <v>128</v>
      </c>
    </row>
    <row r="111" spans="1:10">
      <c r="A111" s="81" t="s">
        <v>432</v>
      </c>
      <c r="C111" s="100">
        <v>64.964782</v>
      </c>
      <c r="D111" s="100">
        <v>2.729222</v>
      </c>
      <c r="E111" s="1">
        <f>165.245+0.72</f>
        <v>165.965</v>
      </c>
      <c r="F111" s="1">
        <f>165.245+0.78</f>
        <v>166.02500000000001</v>
      </c>
      <c r="G111" s="100" t="s">
        <v>127</v>
      </c>
      <c r="H111" s="100" t="s">
        <v>125</v>
      </c>
      <c r="I111" s="100" t="s">
        <v>126</v>
      </c>
      <c r="J111" s="101" t="s">
        <v>128</v>
      </c>
    </row>
    <row r="112" spans="1:10">
      <c r="A112" s="81" t="s">
        <v>433</v>
      </c>
      <c r="C112" s="100">
        <v>64.964782</v>
      </c>
      <c r="D112" s="100">
        <v>2.729222</v>
      </c>
      <c r="E112" s="1">
        <f>165.245+0.79</f>
        <v>166.035</v>
      </c>
      <c r="F112" s="1">
        <f>165.245+0.83</f>
        <v>166.07500000000002</v>
      </c>
      <c r="G112" s="100" t="s">
        <v>127</v>
      </c>
      <c r="H112" s="100" t="s">
        <v>125</v>
      </c>
      <c r="I112" s="100" t="s">
        <v>126</v>
      </c>
      <c r="J112" s="101" t="s">
        <v>128</v>
      </c>
    </row>
    <row r="113" spans="1:10">
      <c r="A113" s="81" t="s">
        <v>1479</v>
      </c>
      <c r="C113" s="100">
        <v>64.964782</v>
      </c>
      <c r="D113" s="100">
        <v>2.729222</v>
      </c>
      <c r="E113" s="1">
        <f>165.245+0.78</f>
        <v>166.02500000000001</v>
      </c>
      <c r="F113" s="1">
        <f>165.245+0.81</f>
        <v>166.05500000000001</v>
      </c>
      <c r="G113" s="100" t="s">
        <v>127</v>
      </c>
      <c r="H113" s="100" t="s">
        <v>125</v>
      </c>
      <c r="I113" s="100" t="s">
        <v>126</v>
      </c>
      <c r="J113" s="101" t="s">
        <v>128</v>
      </c>
    </row>
    <row r="114" spans="1:10">
      <c r="A114" s="81" t="s">
        <v>442</v>
      </c>
      <c r="C114" s="100">
        <v>67.22</v>
      </c>
      <c r="D114" s="100">
        <v>2.93</v>
      </c>
      <c r="E114" s="1">
        <f>410.99+0.45</f>
        <v>411.44</v>
      </c>
      <c r="F114" s="1">
        <f>410.99+0.48</f>
        <v>411.47</v>
      </c>
      <c r="G114" s="100" t="s">
        <v>127</v>
      </c>
      <c r="H114" s="132">
        <v>642</v>
      </c>
      <c r="I114" s="81" t="s">
        <v>178</v>
      </c>
      <c r="J114" s="81" t="s">
        <v>179</v>
      </c>
    </row>
    <row r="115" spans="1:10">
      <c r="A115" s="81" t="s">
        <v>443</v>
      </c>
      <c r="C115" s="100">
        <v>67.22</v>
      </c>
      <c r="D115" s="100">
        <v>2.93</v>
      </c>
      <c r="E115" s="1">
        <f>462.38+0.96</f>
        <v>463.34</v>
      </c>
      <c r="F115" s="1">
        <f>462.38+1.02</f>
        <v>463.4</v>
      </c>
      <c r="G115" s="100" t="s">
        <v>127</v>
      </c>
      <c r="H115" s="132">
        <v>642</v>
      </c>
      <c r="I115" s="81" t="s">
        <v>178</v>
      </c>
      <c r="J115" s="81" t="s">
        <v>179</v>
      </c>
    </row>
    <row r="116" spans="1:10">
      <c r="A116" s="81" t="s">
        <v>510</v>
      </c>
      <c r="C116" s="100">
        <v>67.22</v>
      </c>
      <c r="D116" s="100">
        <v>2.93</v>
      </c>
      <c r="E116" s="1">
        <v>500</v>
      </c>
      <c r="F116" s="1">
        <v>500.7</v>
      </c>
      <c r="G116" s="100" t="s">
        <v>127</v>
      </c>
      <c r="H116" s="132">
        <v>642</v>
      </c>
      <c r="I116" s="81" t="s">
        <v>178</v>
      </c>
      <c r="J116" s="81" t="s">
        <v>179</v>
      </c>
    </row>
    <row r="117" spans="1:10">
      <c r="A117" s="81" t="s">
        <v>511</v>
      </c>
      <c r="C117" s="100">
        <v>67.22</v>
      </c>
      <c r="D117" s="100">
        <v>2.93</v>
      </c>
      <c r="E117" s="1">
        <f>516.98+0.3</f>
        <v>517.28</v>
      </c>
      <c r="F117" s="1">
        <f>516.98+0.35</f>
        <v>517.33000000000004</v>
      </c>
      <c r="G117" s="100" t="s">
        <v>127</v>
      </c>
      <c r="H117" s="132">
        <v>642</v>
      </c>
      <c r="I117" s="81" t="s">
        <v>178</v>
      </c>
      <c r="J117" s="81" t="s">
        <v>179</v>
      </c>
    </row>
    <row r="118" spans="1:10">
      <c r="A118" s="81" t="s">
        <v>512</v>
      </c>
      <c r="C118" s="100">
        <v>67.22</v>
      </c>
      <c r="D118" s="100">
        <v>2.93</v>
      </c>
      <c r="E118" s="1">
        <f>524.09+0.2</f>
        <v>524.29000000000008</v>
      </c>
      <c r="F118" s="1">
        <f>524.09+0.27</f>
        <v>524.36</v>
      </c>
      <c r="G118" s="100" t="s">
        <v>127</v>
      </c>
      <c r="H118" s="132">
        <v>642</v>
      </c>
      <c r="I118" s="81" t="s">
        <v>178</v>
      </c>
      <c r="J118" s="81" t="s">
        <v>179</v>
      </c>
    </row>
    <row r="119" spans="1:10">
      <c r="A119" s="81" t="s">
        <v>513</v>
      </c>
      <c r="C119" s="100">
        <v>67.22</v>
      </c>
      <c r="D119" s="100">
        <v>2.93</v>
      </c>
      <c r="E119" s="1">
        <f>525.51+0.18</f>
        <v>525.68999999999994</v>
      </c>
      <c r="F119" s="1">
        <f>525.51+0.24</f>
        <v>525.75</v>
      </c>
      <c r="G119" s="100" t="s">
        <v>127</v>
      </c>
      <c r="H119" s="132">
        <v>642</v>
      </c>
      <c r="I119" s="81" t="s">
        <v>178</v>
      </c>
      <c r="J119" s="81" t="s">
        <v>179</v>
      </c>
    </row>
    <row r="120" spans="1:10">
      <c r="A120" s="81" t="s">
        <v>514</v>
      </c>
      <c r="C120" s="100">
        <v>67.22</v>
      </c>
      <c r="D120" s="100">
        <v>2.93</v>
      </c>
      <c r="E120" s="1">
        <f>531.5+0.4</f>
        <v>531.9</v>
      </c>
      <c r="F120" s="1">
        <f>531.5+0.44</f>
        <v>531.94000000000005</v>
      </c>
      <c r="G120" s="100" t="s">
        <v>127</v>
      </c>
      <c r="H120" s="132">
        <v>642</v>
      </c>
      <c r="I120" s="81" t="s">
        <v>178</v>
      </c>
      <c r="J120" s="81" t="s">
        <v>179</v>
      </c>
    </row>
    <row r="121" spans="1:10">
      <c r="A121" s="81" t="s">
        <v>515</v>
      </c>
      <c r="C121" s="100">
        <v>67.22</v>
      </c>
      <c r="D121" s="100">
        <v>2.93</v>
      </c>
      <c r="E121" s="1">
        <f>545.78+0.89</f>
        <v>546.66999999999996</v>
      </c>
      <c r="F121" s="1">
        <f>545.78+0.94</f>
        <v>546.72</v>
      </c>
      <c r="G121" s="100" t="s">
        <v>127</v>
      </c>
      <c r="H121" s="132">
        <v>642</v>
      </c>
      <c r="I121" s="81" t="s">
        <v>178</v>
      </c>
      <c r="J121" s="81" t="s">
        <v>179</v>
      </c>
    </row>
    <row r="122" spans="1:10">
      <c r="A122" s="81" t="s">
        <v>516</v>
      </c>
      <c r="C122" s="100">
        <v>67.22</v>
      </c>
      <c r="D122" s="100">
        <v>2.93</v>
      </c>
      <c r="E122" s="1">
        <f>584.99+0.78</f>
        <v>585.77</v>
      </c>
      <c r="F122" s="1">
        <f>584.99+0.86</f>
        <v>585.85</v>
      </c>
      <c r="G122" s="100" t="s">
        <v>127</v>
      </c>
      <c r="H122" s="132">
        <v>642</v>
      </c>
      <c r="I122" s="81" t="s">
        <v>178</v>
      </c>
      <c r="J122" s="81" t="s">
        <v>179</v>
      </c>
    </row>
    <row r="123" spans="1:10">
      <c r="A123" s="81" t="s">
        <v>572</v>
      </c>
      <c r="C123" s="100">
        <v>67.22</v>
      </c>
      <c r="D123" s="100">
        <v>2.93</v>
      </c>
      <c r="E123" s="1">
        <f>586.49+0.49</f>
        <v>586.98</v>
      </c>
      <c r="F123" s="1">
        <f>586.49+0.56</f>
        <v>587.04999999999995</v>
      </c>
      <c r="G123" s="100" t="s">
        <v>127</v>
      </c>
      <c r="H123" s="132">
        <v>642</v>
      </c>
      <c r="I123" s="81" t="s">
        <v>178</v>
      </c>
      <c r="J123" s="81" t="s">
        <v>179</v>
      </c>
    </row>
    <row r="124" spans="1:10">
      <c r="A124" s="81" t="s">
        <v>573</v>
      </c>
      <c r="C124" s="100">
        <v>67.22</v>
      </c>
      <c r="D124" s="100">
        <v>2.93</v>
      </c>
      <c r="E124" s="1">
        <f>587.99+1.21</f>
        <v>589.20000000000005</v>
      </c>
      <c r="F124" s="1">
        <f>587.99+1.26</f>
        <v>589.25</v>
      </c>
      <c r="G124" s="100" t="s">
        <v>127</v>
      </c>
      <c r="H124" s="132">
        <v>642</v>
      </c>
      <c r="I124" s="81" t="s">
        <v>178</v>
      </c>
      <c r="J124" s="81" t="s">
        <v>179</v>
      </c>
    </row>
    <row r="125" spans="1:10">
      <c r="A125" s="81" t="s">
        <v>517</v>
      </c>
      <c r="C125" s="100">
        <v>67.22</v>
      </c>
      <c r="D125" s="100">
        <v>2.93</v>
      </c>
      <c r="E125" s="1">
        <f>587.99+0.72</f>
        <v>588.71</v>
      </c>
      <c r="F125" s="1">
        <f>587.99+0.77</f>
        <v>588.76</v>
      </c>
      <c r="G125" s="100" t="s">
        <v>127</v>
      </c>
      <c r="H125" s="132">
        <v>642</v>
      </c>
      <c r="I125" s="81" t="s">
        <v>178</v>
      </c>
      <c r="J125" s="81" t="s">
        <v>179</v>
      </c>
    </row>
    <row r="126" spans="1:10">
      <c r="A126" s="81" t="s">
        <v>518</v>
      </c>
      <c r="C126" s="100">
        <v>67.22</v>
      </c>
      <c r="D126" s="100">
        <v>2.93</v>
      </c>
      <c r="E126" s="1">
        <f>594.9+0.23</f>
        <v>595.13</v>
      </c>
      <c r="F126" s="1">
        <f>594.9+0.28</f>
        <v>595.17999999999995</v>
      </c>
      <c r="G126" s="100" t="s">
        <v>127</v>
      </c>
      <c r="H126" s="132">
        <v>642</v>
      </c>
      <c r="I126" s="81" t="s">
        <v>178</v>
      </c>
      <c r="J126" s="81" t="s">
        <v>179</v>
      </c>
    </row>
    <row r="127" spans="1:10">
      <c r="A127" s="81" t="s">
        <v>519</v>
      </c>
      <c r="C127" s="100">
        <v>67.22</v>
      </c>
      <c r="D127" s="100">
        <v>2.93</v>
      </c>
      <c r="E127" s="1">
        <f>602.8+0.25</f>
        <v>603.04999999999995</v>
      </c>
      <c r="F127" s="1">
        <f>602.8+0.33</f>
        <v>603.13</v>
      </c>
      <c r="G127" s="100" t="s">
        <v>127</v>
      </c>
      <c r="H127" s="132">
        <v>642</v>
      </c>
      <c r="I127" s="81" t="s">
        <v>178</v>
      </c>
      <c r="J127" s="81" t="s">
        <v>179</v>
      </c>
    </row>
    <row r="128" spans="1:10">
      <c r="A128" s="81" t="s">
        <v>520</v>
      </c>
      <c r="C128" s="100">
        <v>67.22</v>
      </c>
      <c r="D128" s="100">
        <v>2.93</v>
      </c>
      <c r="E128" s="1">
        <f>602.8+0.37</f>
        <v>603.16999999999996</v>
      </c>
      <c r="F128" s="1">
        <f>602.8+0.43</f>
        <v>603.2299999999999</v>
      </c>
      <c r="G128" s="100" t="s">
        <v>127</v>
      </c>
      <c r="H128" s="132">
        <v>642</v>
      </c>
      <c r="I128" s="81" t="s">
        <v>178</v>
      </c>
      <c r="J128" s="81" t="s">
        <v>179</v>
      </c>
    </row>
    <row r="129" spans="1:10">
      <c r="A129" s="81" t="s">
        <v>521</v>
      </c>
      <c r="C129" s="100">
        <v>67.22</v>
      </c>
      <c r="D129" s="100">
        <v>2.93</v>
      </c>
      <c r="E129" s="1">
        <f>604.25+0.7</f>
        <v>604.95000000000005</v>
      </c>
      <c r="F129" s="1">
        <f>604.25+0.43</f>
        <v>604.67999999999995</v>
      </c>
      <c r="G129" s="100" t="s">
        <v>127</v>
      </c>
      <c r="H129" s="132">
        <v>642</v>
      </c>
      <c r="I129" s="81" t="s">
        <v>178</v>
      </c>
      <c r="J129" s="81" t="s">
        <v>179</v>
      </c>
    </row>
    <row r="130" spans="1:10">
      <c r="A130" s="81" t="s">
        <v>522</v>
      </c>
      <c r="C130" s="100">
        <v>67.22</v>
      </c>
      <c r="D130" s="100">
        <v>2.93</v>
      </c>
      <c r="E130" s="1">
        <f>616.53+0.53</f>
        <v>617.05999999999995</v>
      </c>
      <c r="F130" s="1">
        <f>616.53+0.6</f>
        <v>617.13</v>
      </c>
      <c r="G130" s="100" t="s">
        <v>127</v>
      </c>
      <c r="H130" s="132">
        <v>642</v>
      </c>
      <c r="I130" s="81" t="s">
        <v>178</v>
      </c>
      <c r="J130" s="81" t="s">
        <v>179</v>
      </c>
    </row>
    <row r="131" spans="1:10">
      <c r="A131" s="81" t="s">
        <v>523</v>
      </c>
      <c r="C131" s="100">
        <v>67.22</v>
      </c>
      <c r="D131" s="100">
        <v>2.93</v>
      </c>
      <c r="E131" s="1">
        <f>643.6+0.74</f>
        <v>644.34</v>
      </c>
      <c r="F131" s="1">
        <f>643.6+0.8</f>
        <v>644.4</v>
      </c>
      <c r="G131" s="100" t="s">
        <v>127</v>
      </c>
      <c r="H131" s="132">
        <v>642</v>
      </c>
      <c r="I131" s="81" t="s">
        <v>178</v>
      </c>
      <c r="J131" s="81" t="s">
        <v>179</v>
      </c>
    </row>
    <row r="132" spans="1:10">
      <c r="A132" s="81" t="s">
        <v>524</v>
      </c>
      <c r="C132" s="100">
        <v>67.22</v>
      </c>
      <c r="D132" s="100">
        <v>2.93</v>
      </c>
      <c r="E132" s="1">
        <f>643.6+1.42</f>
        <v>645.02</v>
      </c>
      <c r="F132" s="1">
        <f>643.6+1.45</f>
        <v>645.05000000000007</v>
      </c>
      <c r="G132" s="100" t="s">
        <v>127</v>
      </c>
      <c r="H132" s="132">
        <v>642</v>
      </c>
      <c r="I132" s="81" t="s">
        <v>178</v>
      </c>
      <c r="J132" s="81" t="s">
        <v>179</v>
      </c>
    </row>
    <row r="133" spans="1:10">
      <c r="A133" s="81" t="s">
        <v>525</v>
      </c>
      <c r="C133" s="100">
        <v>67.22</v>
      </c>
      <c r="D133" s="100">
        <v>2.93</v>
      </c>
      <c r="E133" s="1">
        <f>651.6+0.25</f>
        <v>651.85</v>
      </c>
      <c r="F133" s="1">
        <f>651.6+0.3</f>
        <v>651.9</v>
      </c>
      <c r="G133" s="100" t="s">
        <v>127</v>
      </c>
      <c r="H133" s="132">
        <v>642</v>
      </c>
      <c r="I133" s="81" t="s">
        <v>178</v>
      </c>
      <c r="J133" s="81" t="s">
        <v>179</v>
      </c>
    </row>
    <row r="134" spans="1:10">
      <c r="A134" s="81" t="s">
        <v>526</v>
      </c>
      <c r="C134" s="100">
        <v>67.22</v>
      </c>
      <c r="D134" s="100">
        <v>2.93</v>
      </c>
      <c r="E134" s="1">
        <f>691.01+1.4</f>
        <v>692.41</v>
      </c>
      <c r="F134" s="1">
        <f>691.01+1.45</f>
        <v>692.46</v>
      </c>
      <c r="G134" s="100" t="s">
        <v>127</v>
      </c>
      <c r="H134" s="132">
        <v>642</v>
      </c>
      <c r="I134" s="81" t="s">
        <v>178</v>
      </c>
      <c r="J134" s="81" t="s">
        <v>179</v>
      </c>
    </row>
    <row r="135" spans="1:10">
      <c r="A135" s="81" t="s">
        <v>527</v>
      </c>
      <c r="C135" s="100">
        <v>67.22</v>
      </c>
      <c r="D135" s="100">
        <v>2.93</v>
      </c>
      <c r="E135" s="1">
        <f>697.6+1.13</f>
        <v>698.73</v>
      </c>
      <c r="F135" s="1">
        <f>697.6+1.19</f>
        <v>698.79000000000008</v>
      </c>
      <c r="G135" s="100" t="s">
        <v>127</v>
      </c>
      <c r="H135" s="132">
        <v>642</v>
      </c>
      <c r="I135" s="81" t="s">
        <v>178</v>
      </c>
      <c r="J135" s="81" t="s">
        <v>179</v>
      </c>
    </row>
    <row r="136" spans="1:10">
      <c r="A136" s="81" t="s">
        <v>528</v>
      </c>
      <c r="C136" s="100">
        <v>67.22</v>
      </c>
      <c r="D136" s="100">
        <v>2.93</v>
      </c>
      <c r="E136" s="1">
        <f>718.07+0.19</f>
        <v>718.2600000000001</v>
      </c>
      <c r="F136" s="1">
        <f>718.07+0.22</f>
        <v>718.29000000000008</v>
      </c>
      <c r="G136" s="100" t="s">
        <v>127</v>
      </c>
      <c r="H136" s="132">
        <v>642</v>
      </c>
      <c r="I136" s="81" t="s">
        <v>178</v>
      </c>
      <c r="J136" s="81" t="s">
        <v>179</v>
      </c>
    </row>
    <row r="137" spans="1:10">
      <c r="A137" s="81" t="s">
        <v>529</v>
      </c>
      <c r="C137" s="100">
        <v>67.22</v>
      </c>
      <c r="D137" s="100">
        <v>2.93</v>
      </c>
      <c r="E137" s="1">
        <f>723.3+0.27</f>
        <v>723.56999999999994</v>
      </c>
      <c r="F137" s="1">
        <f>723.3+0.33</f>
        <v>723.63</v>
      </c>
      <c r="G137" s="100" t="s">
        <v>127</v>
      </c>
      <c r="H137" s="132">
        <v>642</v>
      </c>
      <c r="I137" s="81" t="s">
        <v>178</v>
      </c>
      <c r="J137" s="81" t="s">
        <v>179</v>
      </c>
    </row>
    <row r="138" spans="1:10">
      <c r="A138" s="81" t="s">
        <v>530</v>
      </c>
      <c r="C138" s="100">
        <v>67.22</v>
      </c>
      <c r="D138" s="100">
        <v>2.93</v>
      </c>
      <c r="E138" s="1">
        <f>727.87+0.03</f>
        <v>727.9</v>
      </c>
      <c r="F138" s="1">
        <f>727.87+0.07</f>
        <v>727.94</v>
      </c>
      <c r="G138" s="100" t="s">
        <v>127</v>
      </c>
      <c r="H138" s="132">
        <v>642</v>
      </c>
      <c r="I138" s="81" t="s">
        <v>178</v>
      </c>
      <c r="J138" s="81" t="s">
        <v>179</v>
      </c>
    </row>
    <row r="139" spans="1:10">
      <c r="A139" s="81" t="s">
        <v>531</v>
      </c>
      <c r="C139" s="100">
        <v>67.22</v>
      </c>
      <c r="D139" s="100">
        <v>2.93</v>
      </c>
      <c r="E139" s="1">
        <f>729.37+0.3</f>
        <v>729.67</v>
      </c>
      <c r="F139" s="1">
        <f>729.37+0.34</f>
        <v>729.71</v>
      </c>
      <c r="G139" s="100" t="s">
        <v>127</v>
      </c>
      <c r="H139" s="132">
        <v>642</v>
      </c>
      <c r="I139" s="81" t="s">
        <v>178</v>
      </c>
      <c r="J139" s="81" t="s">
        <v>179</v>
      </c>
    </row>
    <row r="140" spans="1:10">
      <c r="A140" s="81" t="s">
        <v>532</v>
      </c>
      <c r="C140" s="100">
        <v>67.22</v>
      </c>
      <c r="D140" s="100">
        <v>2.93</v>
      </c>
      <c r="E140" s="1">
        <f>741.7+0.7</f>
        <v>742.40000000000009</v>
      </c>
      <c r="F140" s="1">
        <f>741.7+0.75</f>
        <v>742.45</v>
      </c>
      <c r="G140" s="100" t="s">
        <v>127</v>
      </c>
      <c r="H140" s="132">
        <v>642</v>
      </c>
      <c r="I140" s="81" t="s">
        <v>178</v>
      </c>
      <c r="J140" s="81" t="s">
        <v>179</v>
      </c>
    </row>
    <row r="141" spans="1:10">
      <c r="A141" s="81" t="s">
        <v>533</v>
      </c>
      <c r="C141" s="100">
        <v>67.22</v>
      </c>
      <c r="D141" s="100">
        <v>2.93</v>
      </c>
      <c r="E141" s="1">
        <f>757.6+0.01</f>
        <v>757.61</v>
      </c>
      <c r="F141" s="1">
        <f>757.6+0.04</f>
        <v>757.64</v>
      </c>
      <c r="G141" s="100" t="s">
        <v>127</v>
      </c>
      <c r="H141" s="132">
        <v>642</v>
      </c>
      <c r="I141" s="81" t="s">
        <v>178</v>
      </c>
      <c r="J141" s="81" t="s">
        <v>179</v>
      </c>
    </row>
    <row r="142" spans="1:10">
      <c r="A142" s="81" t="s">
        <v>534</v>
      </c>
      <c r="C142" s="100">
        <v>67.22</v>
      </c>
      <c r="D142" s="100">
        <v>2.93</v>
      </c>
      <c r="E142" s="1">
        <f>766.1+1.3</f>
        <v>767.4</v>
      </c>
      <c r="F142" s="1">
        <f>766.1+1.35</f>
        <v>767.45</v>
      </c>
      <c r="G142" s="100" t="s">
        <v>127</v>
      </c>
      <c r="H142" s="132">
        <v>642</v>
      </c>
      <c r="I142" s="81" t="s">
        <v>178</v>
      </c>
      <c r="J142" s="81" t="s">
        <v>179</v>
      </c>
    </row>
    <row r="143" spans="1:10">
      <c r="A143" s="81" t="s">
        <v>535</v>
      </c>
      <c r="C143" s="100">
        <v>67.22</v>
      </c>
      <c r="D143" s="100">
        <v>2.93</v>
      </c>
      <c r="E143" s="1">
        <f>784.9+0.16</f>
        <v>785.06</v>
      </c>
      <c r="F143" s="1">
        <f>784.9+0.23</f>
        <v>785.13</v>
      </c>
      <c r="G143" s="100" t="s">
        <v>127</v>
      </c>
      <c r="H143" s="132">
        <v>642</v>
      </c>
      <c r="I143" s="81" t="s">
        <v>178</v>
      </c>
      <c r="J143" s="81" t="s">
        <v>179</v>
      </c>
    </row>
    <row r="144" spans="1:10">
      <c r="A144" s="81" t="s">
        <v>536</v>
      </c>
      <c r="C144" s="100">
        <v>67.22</v>
      </c>
      <c r="D144" s="100">
        <v>2.93</v>
      </c>
      <c r="E144" s="1">
        <f>786.36+1.15</f>
        <v>787.51</v>
      </c>
      <c r="F144" s="1">
        <f>786.36+1.21</f>
        <v>787.57</v>
      </c>
      <c r="G144" s="100" t="s">
        <v>127</v>
      </c>
      <c r="H144" s="132">
        <v>642</v>
      </c>
      <c r="I144" s="81" t="s">
        <v>178</v>
      </c>
      <c r="J144" s="81" t="s">
        <v>179</v>
      </c>
    </row>
    <row r="145" spans="1:10">
      <c r="A145" s="81" t="s">
        <v>537</v>
      </c>
      <c r="C145" s="100">
        <v>67.22</v>
      </c>
      <c r="D145" s="100">
        <v>2.93</v>
      </c>
      <c r="E145" s="1">
        <f>795.8+0.4</f>
        <v>796.19999999999993</v>
      </c>
      <c r="F145" s="1">
        <f>795.8+0.48</f>
        <v>796.28</v>
      </c>
      <c r="G145" s="100" t="s">
        <v>127</v>
      </c>
      <c r="H145" s="132">
        <v>642</v>
      </c>
      <c r="I145" s="81" t="s">
        <v>178</v>
      </c>
      <c r="J145" s="81" t="s">
        <v>179</v>
      </c>
    </row>
    <row r="146" spans="1:10">
      <c r="A146" s="81" t="s">
        <v>538</v>
      </c>
      <c r="C146" s="100">
        <v>67.22</v>
      </c>
      <c r="D146" s="100">
        <v>2.93</v>
      </c>
      <c r="E146" s="1">
        <f>803.8+0.61</f>
        <v>804.41</v>
      </c>
      <c r="F146" s="1">
        <f>803.8+0.66</f>
        <v>804.45999999999992</v>
      </c>
      <c r="G146" s="100" t="s">
        <v>127</v>
      </c>
      <c r="H146" s="132">
        <v>642</v>
      </c>
      <c r="I146" s="81" t="s">
        <v>178</v>
      </c>
      <c r="J146" s="81" t="s">
        <v>179</v>
      </c>
    </row>
    <row r="147" spans="1:10">
      <c r="A147" s="81" t="s">
        <v>539</v>
      </c>
      <c r="C147" s="100">
        <v>67.22</v>
      </c>
      <c r="D147" s="100">
        <v>2.93</v>
      </c>
      <c r="E147" s="1">
        <f>815.8+0.65</f>
        <v>816.44999999999993</v>
      </c>
      <c r="F147" s="1">
        <f>815.8+0.71</f>
        <v>816.51</v>
      </c>
      <c r="G147" s="100" t="s">
        <v>127</v>
      </c>
      <c r="H147" s="132">
        <v>642</v>
      </c>
      <c r="I147" s="81" t="s">
        <v>178</v>
      </c>
      <c r="J147" s="81" t="s">
        <v>179</v>
      </c>
    </row>
    <row r="148" spans="1:10">
      <c r="A148" s="81" t="s">
        <v>540</v>
      </c>
      <c r="C148" s="100">
        <v>67.22</v>
      </c>
      <c r="D148" s="100">
        <v>2.93</v>
      </c>
      <c r="E148" s="1">
        <f>820.18+1.24</f>
        <v>821.42</v>
      </c>
      <c r="F148" s="1">
        <f>820.18+1.29</f>
        <v>821.46999999999991</v>
      </c>
      <c r="G148" s="100" t="s">
        <v>127</v>
      </c>
      <c r="H148" s="132">
        <v>642</v>
      </c>
      <c r="I148" s="81" t="s">
        <v>178</v>
      </c>
      <c r="J148" s="81" t="s">
        <v>179</v>
      </c>
    </row>
    <row r="149" spans="1:10">
      <c r="A149" s="81" t="s">
        <v>541</v>
      </c>
      <c r="C149" s="100">
        <v>67.22</v>
      </c>
      <c r="D149" s="100">
        <v>2.93</v>
      </c>
      <c r="E149" s="1">
        <f>821.68+0.8</f>
        <v>822.4799999999999</v>
      </c>
      <c r="F149" s="1">
        <f>821.68+0.84</f>
        <v>822.52</v>
      </c>
      <c r="G149" s="100" t="s">
        <v>127</v>
      </c>
      <c r="H149" s="132">
        <v>642</v>
      </c>
      <c r="I149" s="81" t="s">
        <v>178</v>
      </c>
      <c r="J149" s="81" t="s">
        <v>179</v>
      </c>
    </row>
    <row r="150" spans="1:10">
      <c r="A150" s="81" t="s">
        <v>542</v>
      </c>
      <c r="C150" s="100">
        <v>67.22</v>
      </c>
      <c r="D150" s="100">
        <v>2.93</v>
      </c>
      <c r="E150" s="1">
        <f>821.68+0.84</f>
        <v>822.52</v>
      </c>
      <c r="F150" s="1">
        <f>821.68+0.86</f>
        <v>822.54</v>
      </c>
      <c r="G150" s="100" t="s">
        <v>127</v>
      </c>
      <c r="H150" s="132">
        <v>642</v>
      </c>
      <c r="I150" s="81" t="s">
        <v>178</v>
      </c>
      <c r="J150" s="81" t="s">
        <v>179</v>
      </c>
    </row>
    <row r="151" spans="1:10">
      <c r="A151" s="81" t="s">
        <v>543</v>
      </c>
      <c r="C151" s="100">
        <v>67.22</v>
      </c>
      <c r="D151" s="100">
        <v>2.93</v>
      </c>
      <c r="E151" s="1">
        <f>837.51+0.7</f>
        <v>838.21</v>
      </c>
      <c r="F151" s="1">
        <f>837.51+0.76</f>
        <v>838.27</v>
      </c>
      <c r="G151" s="100" t="s">
        <v>127</v>
      </c>
      <c r="H151" s="132">
        <v>642</v>
      </c>
      <c r="I151" s="81" t="s">
        <v>178</v>
      </c>
      <c r="J151" s="81" t="s">
        <v>179</v>
      </c>
    </row>
    <row r="152" spans="1:10">
      <c r="A152" s="81" t="s">
        <v>544</v>
      </c>
      <c r="C152" s="100">
        <v>67.22</v>
      </c>
      <c r="D152" s="100">
        <v>2.93</v>
      </c>
      <c r="E152" s="1">
        <f>844.2+0.24</f>
        <v>844.44</v>
      </c>
      <c r="F152" s="1">
        <f>844.2+0.29</f>
        <v>844.49</v>
      </c>
      <c r="G152" s="100" t="s">
        <v>127</v>
      </c>
      <c r="H152" s="132">
        <v>642</v>
      </c>
      <c r="I152" s="81" t="s">
        <v>178</v>
      </c>
      <c r="J152" s="81" t="s">
        <v>179</v>
      </c>
    </row>
    <row r="153" spans="1:10">
      <c r="A153" s="81" t="s">
        <v>545</v>
      </c>
      <c r="C153" s="100">
        <v>67.22</v>
      </c>
      <c r="D153" s="100">
        <v>2.93</v>
      </c>
      <c r="E153" s="1">
        <f>853.7+0.55</f>
        <v>854.25</v>
      </c>
      <c r="F153" s="1">
        <f>853.7+0.65</f>
        <v>854.35</v>
      </c>
      <c r="G153" s="100" t="s">
        <v>127</v>
      </c>
      <c r="H153" s="132">
        <v>642</v>
      </c>
      <c r="I153" s="81" t="s">
        <v>178</v>
      </c>
      <c r="J153" s="81" t="s">
        <v>179</v>
      </c>
    </row>
    <row r="154" spans="1:10">
      <c r="A154" s="81" t="s">
        <v>546</v>
      </c>
      <c r="C154" s="100">
        <v>67.22</v>
      </c>
      <c r="D154" s="100">
        <v>2.93</v>
      </c>
      <c r="E154" s="1">
        <f>853.7+1.37</f>
        <v>855.07</v>
      </c>
      <c r="F154" s="1">
        <f>853.7+1.44</f>
        <v>855.1400000000001</v>
      </c>
      <c r="G154" s="100" t="s">
        <v>127</v>
      </c>
      <c r="H154" s="132">
        <v>642</v>
      </c>
      <c r="I154" s="81" t="s">
        <v>178</v>
      </c>
      <c r="J154" s="81" t="s">
        <v>179</v>
      </c>
    </row>
    <row r="155" spans="1:10">
      <c r="A155" s="81" t="s">
        <v>547</v>
      </c>
      <c r="C155" s="100">
        <v>67.22</v>
      </c>
      <c r="D155" s="100">
        <v>2.93</v>
      </c>
      <c r="E155" s="1">
        <f>855.2+1.24</f>
        <v>856.44</v>
      </c>
      <c r="F155" s="1">
        <f>855.2+1.29</f>
        <v>856.49</v>
      </c>
      <c r="G155" s="100" t="s">
        <v>127</v>
      </c>
      <c r="H155" s="132">
        <v>642</v>
      </c>
      <c r="I155" s="81" t="s">
        <v>178</v>
      </c>
      <c r="J155" s="81" t="s">
        <v>179</v>
      </c>
    </row>
    <row r="156" spans="1:10">
      <c r="A156" s="81" t="s">
        <v>548</v>
      </c>
      <c r="C156" s="100">
        <v>67.22</v>
      </c>
      <c r="D156" s="100">
        <v>2.93</v>
      </c>
      <c r="E156" s="1">
        <f>863.2+0.92</f>
        <v>864.12</v>
      </c>
      <c r="F156" s="1">
        <f>863.2+0.98</f>
        <v>864.18000000000006</v>
      </c>
      <c r="G156" s="100" t="s">
        <v>127</v>
      </c>
      <c r="H156" s="132">
        <v>642</v>
      </c>
      <c r="I156" s="81" t="s">
        <v>178</v>
      </c>
      <c r="J156" s="81" t="s">
        <v>179</v>
      </c>
    </row>
    <row r="157" spans="1:10">
      <c r="A157" s="81" t="s">
        <v>549</v>
      </c>
      <c r="C157" s="100">
        <v>67.22</v>
      </c>
      <c r="D157" s="100">
        <v>2.93</v>
      </c>
      <c r="E157" s="1">
        <f>866.08+1.25</f>
        <v>867.33</v>
      </c>
      <c r="F157" s="1">
        <f>866.08+1.29</f>
        <v>867.37</v>
      </c>
      <c r="G157" s="100" t="s">
        <v>127</v>
      </c>
      <c r="H157" s="132">
        <v>642</v>
      </c>
      <c r="I157" s="81" t="s">
        <v>178</v>
      </c>
      <c r="J157" s="81" t="s">
        <v>179</v>
      </c>
    </row>
    <row r="158" spans="1:10">
      <c r="A158" s="81" t="s">
        <v>550</v>
      </c>
      <c r="C158" s="100">
        <v>67.22</v>
      </c>
      <c r="D158" s="100">
        <v>2.93</v>
      </c>
      <c r="E158" s="1">
        <f>882.2+0.28</f>
        <v>882.48</v>
      </c>
      <c r="F158" s="1">
        <f>882.2+0.33</f>
        <v>882.53000000000009</v>
      </c>
      <c r="G158" s="100" t="s">
        <v>127</v>
      </c>
      <c r="H158" s="132">
        <v>642</v>
      </c>
      <c r="I158" s="81" t="s">
        <v>178</v>
      </c>
      <c r="J158" s="81" t="s">
        <v>179</v>
      </c>
    </row>
    <row r="159" spans="1:10">
      <c r="A159" s="81" t="s">
        <v>551</v>
      </c>
      <c r="C159" s="100">
        <v>67.22</v>
      </c>
      <c r="D159" s="100">
        <v>2.93</v>
      </c>
      <c r="E159" s="1">
        <f>883.7+0.48</f>
        <v>884.18000000000006</v>
      </c>
      <c r="F159" s="1">
        <f>883.7+0.53</f>
        <v>884.23</v>
      </c>
      <c r="G159" s="100" t="s">
        <v>127</v>
      </c>
      <c r="H159" s="132">
        <v>642</v>
      </c>
      <c r="I159" s="81" t="s">
        <v>178</v>
      </c>
      <c r="J159" s="81" t="s">
        <v>179</v>
      </c>
    </row>
    <row r="160" spans="1:10">
      <c r="A160" s="81" t="s">
        <v>552</v>
      </c>
      <c r="C160" s="100">
        <v>67.22</v>
      </c>
      <c r="D160" s="100">
        <v>2.93</v>
      </c>
      <c r="E160" s="1">
        <f>891.5+0.4</f>
        <v>891.9</v>
      </c>
      <c r="F160" s="1">
        <f>891.5+0.43</f>
        <v>891.93</v>
      </c>
      <c r="G160" s="100" t="s">
        <v>127</v>
      </c>
      <c r="H160" s="132">
        <v>642</v>
      </c>
      <c r="I160" s="81" t="s">
        <v>178</v>
      </c>
      <c r="J160" s="81" t="s">
        <v>179</v>
      </c>
    </row>
    <row r="161" spans="1:10">
      <c r="A161" s="81" t="s">
        <v>553</v>
      </c>
      <c r="C161" s="100">
        <v>67.22</v>
      </c>
      <c r="D161" s="100">
        <v>2.93</v>
      </c>
      <c r="E161" s="1">
        <f>903.88+0.5</f>
        <v>904.38</v>
      </c>
      <c r="F161" s="1">
        <f>903.88+0.54</f>
        <v>904.42</v>
      </c>
      <c r="G161" s="100" t="s">
        <v>127</v>
      </c>
      <c r="H161" s="132">
        <v>642</v>
      </c>
      <c r="I161" s="81" t="s">
        <v>178</v>
      </c>
      <c r="J161" s="81" t="s">
        <v>179</v>
      </c>
    </row>
    <row r="162" spans="1:10">
      <c r="A162" s="81" t="s">
        <v>554</v>
      </c>
      <c r="C162" s="100">
        <v>67.22</v>
      </c>
      <c r="D162" s="100">
        <v>2.93</v>
      </c>
      <c r="E162" s="1">
        <f>911.9+0.23</f>
        <v>912.13</v>
      </c>
      <c r="F162" s="1">
        <f>911.9+0.3</f>
        <v>912.19999999999993</v>
      </c>
      <c r="G162" s="100" t="s">
        <v>127</v>
      </c>
      <c r="H162" s="132">
        <v>642</v>
      </c>
      <c r="I162" s="81" t="s">
        <v>178</v>
      </c>
      <c r="J162" s="81" t="s">
        <v>179</v>
      </c>
    </row>
    <row r="163" spans="1:10">
      <c r="A163" s="81" t="s">
        <v>555</v>
      </c>
      <c r="C163" s="100">
        <v>67.22</v>
      </c>
      <c r="D163" s="100">
        <v>2.93</v>
      </c>
      <c r="E163" s="1">
        <f>911.9+0.53</f>
        <v>912.43</v>
      </c>
      <c r="F163" s="1">
        <f>911.9+0.56</f>
        <v>912.45999999999992</v>
      </c>
      <c r="G163" s="100" t="s">
        <v>127</v>
      </c>
      <c r="H163" s="132">
        <v>642</v>
      </c>
      <c r="I163" s="81" t="s">
        <v>178</v>
      </c>
      <c r="J163" s="81" t="s">
        <v>179</v>
      </c>
    </row>
    <row r="164" spans="1:10">
      <c r="A164" s="81" t="s">
        <v>556</v>
      </c>
      <c r="C164" s="100">
        <v>67.22</v>
      </c>
      <c r="D164" s="100">
        <v>2.93</v>
      </c>
      <c r="E164" s="1">
        <f>922.8</f>
        <v>922.8</v>
      </c>
      <c r="F164" s="1">
        <f>922.8+0.07</f>
        <v>922.87</v>
      </c>
      <c r="G164" s="100" t="s">
        <v>127</v>
      </c>
      <c r="H164" s="132">
        <v>642</v>
      </c>
      <c r="I164" s="81" t="s">
        <v>178</v>
      </c>
      <c r="J164" s="81" t="s">
        <v>179</v>
      </c>
    </row>
    <row r="165" spans="1:10">
      <c r="A165" s="81" t="s">
        <v>557</v>
      </c>
      <c r="C165" s="100">
        <v>67.22</v>
      </c>
      <c r="D165" s="100">
        <v>2.93</v>
      </c>
      <c r="E165" s="1">
        <f>930.9+0.66</f>
        <v>931.56</v>
      </c>
      <c r="F165" s="1">
        <f>930.9+0.76</f>
        <v>931.66</v>
      </c>
      <c r="G165" s="100" t="s">
        <v>127</v>
      </c>
      <c r="H165" s="132">
        <v>642</v>
      </c>
      <c r="I165" s="81" t="s">
        <v>178</v>
      </c>
      <c r="J165" s="81" t="s">
        <v>179</v>
      </c>
    </row>
    <row r="166" spans="1:10">
      <c r="A166" s="81" t="s">
        <v>558</v>
      </c>
      <c r="C166" s="100">
        <v>67.22</v>
      </c>
      <c r="D166" s="100">
        <v>2.93</v>
      </c>
      <c r="E166" s="1">
        <f>940.4+0.53</f>
        <v>940.93</v>
      </c>
      <c r="F166" s="1">
        <f>940.4+0.58</f>
        <v>940.98</v>
      </c>
      <c r="G166" s="100" t="s">
        <v>127</v>
      </c>
      <c r="H166" s="132">
        <v>642</v>
      </c>
      <c r="I166" s="81" t="s">
        <v>178</v>
      </c>
      <c r="J166" s="81" t="s">
        <v>179</v>
      </c>
    </row>
    <row r="167" spans="1:10">
      <c r="A167" s="81" t="s">
        <v>559</v>
      </c>
      <c r="C167" s="100">
        <v>67.22</v>
      </c>
      <c r="D167" s="100">
        <v>2.93</v>
      </c>
      <c r="E167" s="1">
        <f>949.9+1.1</f>
        <v>951</v>
      </c>
      <c r="F167" s="1">
        <f>949.9+1.17</f>
        <v>951.06999999999994</v>
      </c>
      <c r="G167" s="100" t="s">
        <v>127</v>
      </c>
      <c r="H167" s="132">
        <v>642</v>
      </c>
      <c r="I167" s="81" t="s">
        <v>178</v>
      </c>
      <c r="J167" s="81" t="s">
        <v>179</v>
      </c>
    </row>
    <row r="168" spans="1:10">
      <c r="A168" s="81" t="s">
        <v>560</v>
      </c>
      <c r="C168" s="100">
        <v>67.22</v>
      </c>
      <c r="D168" s="100">
        <v>2.93</v>
      </c>
      <c r="E168" s="1">
        <f>951.4+1.09</f>
        <v>952.49</v>
      </c>
      <c r="F168" s="1">
        <f>951.4+1.13</f>
        <v>952.53</v>
      </c>
      <c r="G168" s="100" t="s">
        <v>127</v>
      </c>
      <c r="H168" s="132">
        <v>642</v>
      </c>
      <c r="I168" s="81" t="s">
        <v>178</v>
      </c>
      <c r="J168" s="81" t="s">
        <v>179</v>
      </c>
    </row>
    <row r="169" spans="1:10">
      <c r="A169" s="81" t="s">
        <v>561</v>
      </c>
      <c r="C169" s="100">
        <v>67.22</v>
      </c>
      <c r="D169" s="100">
        <v>2.93</v>
      </c>
      <c r="E169" s="1">
        <f>968.3+0.9</f>
        <v>969.19999999999993</v>
      </c>
      <c r="F169" s="1">
        <f>968.3+0.95</f>
        <v>969.25</v>
      </c>
      <c r="G169" s="100" t="s">
        <v>127</v>
      </c>
      <c r="H169" s="132">
        <v>642</v>
      </c>
      <c r="I169" s="81" t="s">
        <v>178</v>
      </c>
      <c r="J169" s="81" t="s">
        <v>179</v>
      </c>
    </row>
    <row r="170" spans="1:10">
      <c r="A170" s="81" t="s">
        <v>562</v>
      </c>
      <c r="C170" s="100">
        <v>67.22</v>
      </c>
      <c r="D170" s="100">
        <v>2.93</v>
      </c>
      <c r="E170" s="1">
        <f>988.8+0.85</f>
        <v>989.65</v>
      </c>
      <c r="F170" s="1">
        <f>988.8+0.9</f>
        <v>989.69999999999993</v>
      </c>
      <c r="G170" s="100" t="s">
        <v>127</v>
      </c>
      <c r="H170" s="132">
        <v>642</v>
      </c>
      <c r="I170" s="81" t="s">
        <v>178</v>
      </c>
      <c r="J170" s="81" t="s">
        <v>179</v>
      </c>
    </row>
    <row r="171" spans="1:10">
      <c r="A171" s="81" t="s">
        <v>563</v>
      </c>
      <c r="C171" s="100">
        <v>67.22</v>
      </c>
      <c r="D171" s="100">
        <v>2.93</v>
      </c>
      <c r="E171" s="1">
        <f>1006.3+0.71</f>
        <v>1007.01</v>
      </c>
      <c r="F171" s="1">
        <f>1006.3+0.77</f>
        <v>1007.0699999999999</v>
      </c>
      <c r="G171" s="100" t="s">
        <v>127</v>
      </c>
      <c r="H171" s="132">
        <v>642</v>
      </c>
      <c r="I171" s="81" t="s">
        <v>178</v>
      </c>
      <c r="J171" s="81" t="s">
        <v>179</v>
      </c>
    </row>
    <row r="172" spans="1:10">
      <c r="A172" s="81" t="s">
        <v>564</v>
      </c>
      <c r="C172" s="100">
        <v>67.22</v>
      </c>
      <c r="D172" s="100">
        <v>2.93</v>
      </c>
      <c r="E172" s="1">
        <f>1015.8+0.44</f>
        <v>1016.24</v>
      </c>
      <c r="F172" s="1">
        <f>1015.8+0.49</f>
        <v>1016.29</v>
      </c>
      <c r="G172" s="100" t="s">
        <v>127</v>
      </c>
      <c r="H172" s="132">
        <v>642</v>
      </c>
      <c r="I172" s="81" t="s">
        <v>178</v>
      </c>
      <c r="J172" s="81" t="s">
        <v>179</v>
      </c>
    </row>
    <row r="173" spans="1:10">
      <c r="A173" s="81" t="s">
        <v>565</v>
      </c>
      <c r="C173" s="100">
        <v>67.22</v>
      </c>
      <c r="D173" s="100">
        <v>2.93</v>
      </c>
      <c r="E173" s="1">
        <f>1017.24+1.31</f>
        <v>1018.55</v>
      </c>
      <c r="F173" s="1">
        <f>1017.24+1.36</f>
        <v>1018.6</v>
      </c>
      <c r="G173" s="100" t="s">
        <v>127</v>
      </c>
      <c r="H173" s="132">
        <v>642</v>
      </c>
      <c r="I173" s="81" t="s">
        <v>178</v>
      </c>
      <c r="J173" s="81" t="s">
        <v>179</v>
      </c>
    </row>
    <row r="174" spans="1:10">
      <c r="A174" s="81" t="s">
        <v>566</v>
      </c>
      <c r="C174" s="100">
        <v>67.22</v>
      </c>
      <c r="D174" s="100">
        <v>2.93</v>
      </c>
      <c r="E174" s="1">
        <f>1017.24+0.88</f>
        <v>1018.12</v>
      </c>
      <c r="F174" s="1">
        <f>1017.24+0.95</f>
        <v>1018.19</v>
      </c>
      <c r="G174" s="100" t="s">
        <v>127</v>
      </c>
      <c r="H174" s="132">
        <v>642</v>
      </c>
      <c r="I174" s="81" t="s">
        <v>178</v>
      </c>
      <c r="J174" s="81" t="s">
        <v>179</v>
      </c>
    </row>
    <row r="175" spans="1:10">
      <c r="A175" s="81" t="s">
        <v>567</v>
      </c>
      <c r="C175" s="100">
        <v>67.22</v>
      </c>
      <c r="D175" s="100">
        <v>2.93</v>
      </c>
      <c r="E175" s="1">
        <f>1025.3+0.71</f>
        <v>1026.01</v>
      </c>
      <c r="F175" s="1">
        <f>1025.3+0.73</f>
        <v>1026.03</v>
      </c>
      <c r="G175" s="100" t="s">
        <v>127</v>
      </c>
      <c r="H175" s="132">
        <v>642</v>
      </c>
      <c r="I175" s="81" t="s">
        <v>178</v>
      </c>
      <c r="J175" s="81" t="s">
        <v>179</v>
      </c>
    </row>
    <row r="176" spans="1:10">
      <c r="A176" s="81" t="s">
        <v>568</v>
      </c>
      <c r="C176" s="100">
        <v>67.22</v>
      </c>
      <c r="D176" s="100">
        <v>2.93</v>
      </c>
      <c r="E176" s="1">
        <f>1026.8+0.52</f>
        <v>1027.32</v>
      </c>
      <c r="F176" s="1">
        <f>1026.8+0.58</f>
        <v>1027.3799999999999</v>
      </c>
      <c r="G176" s="100" t="s">
        <v>127</v>
      </c>
      <c r="H176" s="132">
        <v>642</v>
      </c>
      <c r="I176" s="81" t="s">
        <v>178</v>
      </c>
      <c r="J176" s="81" t="s">
        <v>179</v>
      </c>
    </row>
    <row r="177" spans="1:10">
      <c r="A177" s="81" t="s">
        <v>569</v>
      </c>
      <c r="C177" s="100">
        <v>67.22</v>
      </c>
      <c r="D177" s="100">
        <v>2.93</v>
      </c>
      <c r="E177" s="1">
        <f>1055.3+0.68</f>
        <v>1055.98</v>
      </c>
      <c r="F177" s="1">
        <f>1055.3+0.72</f>
        <v>1056.02</v>
      </c>
      <c r="G177" s="100" t="s">
        <v>127</v>
      </c>
      <c r="H177" s="132">
        <v>642</v>
      </c>
      <c r="I177" s="81" t="s">
        <v>178</v>
      </c>
      <c r="J177" s="81" t="s">
        <v>179</v>
      </c>
    </row>
    <row r="178" spans="1:10">
      <c r="A178" s="81" t="s">
        <v>570</v>
      </c>
      <c r="C178" s="100">
        <v>67.22</v>
      </c>
      <c r="D178" s="100">
        <v>2.93</v>
      </c>
      <c r="E178" s="1">
        <f>1063.3+0.46</f>
        <v>1063.76</v>
      </c>
      <c r="F178" s="1">
        <f>1063.3+0.5</f>
        <v>1063.8</v>
      </c>
      <c r="G178" s="100" t="s">
        <v>127</v>
      </c>
      <c r="H178" s="132">
        <v>642</v>
      </c>
      <c r="I178" s="81" t="s">
        <v>178</v>
      </c>
      <c r="J178" s="81" t="s">
        <v>179</v>
      </c>
    </row>
    <row r="179" spans="1:10">
      <c r="A179" s="81" t="s">
        <v>571</v>
      </c>
      <c r="C179" s="100">
        <v>67.22</v>
      </c>
      <c r="D179" s="100">
        <v>2.93</v>
      </c>
      <c r="E179" s="1">
        <f>1080.22+0.48</f>
        <v>1080.7</v>
      </c>
      <c r="F179" s="1">
        <f>1080.22+0.52</f>
        <v>1080.74</v>
      </c>
      <c r="G179" s="100" t="s">
        <v>127</v>
      </c>
      <c r="H179" s="106">
        <v>642</v>
      </c>
      <c r="I179" s="1" t="s">
        <v>178</v>
      </c>
      <c r="J179" s="1" t="s">
        <v>179</v>
      </c>
    </row>
    <row r="180" spans="1:10">
      <c r="A180" s="81" t="s">
        <v>575</v>
      </c>
      <c r="C180" s="100">
        <v>67.22</v>
      </c>
      <c r="D180" s="100">
        <v>2.93</v>
      </c>
      <c r="E180" s="1">
        <f>1110.4+0.05</f>
        <v>1110.45</v>
      </c>
      <c r="F180" s="1">
        <f>1110.4+0.1</f>
        <v>1110.5</v>
      </c>
      <c r="G180" s="100" t="s">
        <v>127</v>
      </c>
      <c r="H180" s="106">
        <v>642</v>
      </c>
      <c r="I180" s="1" t="s">
        <v>178</v>
      </c>
      <c r="J180" s="1" t="s">
        <v>179</v>
      </c>
    </row>
    <row r="181" spans="1:10">
      <c r="A181" s="81" t="s">
        <v>576</v>
      </c>
      <c r="C181" s="100">
        <v>67.22</v>
      </c>
      <c r="D181" s="100">
        <v>2.93</v>
      </c>
      <c r="E181" s="1">
        <f>1117.27+0.66</f>
        <v>1117.93</v>
      </c>
      <c r="F181" s="1">
        <f>1117.27+0.7</f>
        <v>1117.97</v>
      </c>
      <c r="G181" s="100" t="s">
        <v>127</v>
      </c>
      <c r="H181" s="106">
        <v>642</v>
      </c>
      <c r="I181" s="1" t="s">
        <v>178</v>
      </c>
      <c r="J181" s="1" t="s">
        <v>179</v>
      </c>
    </row>
    <row r="182" spans="1:10">
      <c r="A182" s="81" t="s">
        <v>577</v>
      </c>
      <c r="C182" s="100">
        <v>67.22</v>
      </c>
      <c r="D182" s="100">
        <v>2.93</v>
      </c>
      <c r="E182" s="1">
        <f>1126.7+0.44</f>
        <v>1127.1400000000001</v>
      </c>
      <c r="F182" s="1">
        <f>1126.7+0.48</f>
        <v>1127.18</v>
      </c>
      <c r="G182" s="100" t="s">
        <v>127</v>
      </c>
      <c r="H182" s="106">
        <v>642</v>
      </c>
      <c r="I182" s="1" t="s">
        <v>178</v>
      </c>
      <c r="J182" s="1" t="s">
        <v>179</v>
      </c>
    </row>
    <row r="183" spans="1:10">
      <c r="A183" s="81" t="s">
        <v>578</v>
      </c>
      <c r="C183" s="100">
        <v>67.22</v>
      </c>
      <c r="D183" s="100">
        <v>2.93</v>
      </c>
      <c r="E183" s="1">
        <f>1144.1+0.7</f>
        <v>1144.8</v>
      </c>
      <c r="F183" s="1">
        <f>1144.1+0.75</f>
        <v>1144.8499999999999</v>
      </c>
      <c r="G183" s="100" t="s">
        <v>127</v>
      </c>
      <c r="H183" s="106">
        <v>642</v>
      </c>
      <c r="I183" s="1" t="s">
        <v>178</v>
      </c>
      <c r="J183" s="1" t="s">
        <v>179</v>
      </c>
    </row>
    <row r="184" spans="1:10">
      <c r="A184" s="81" t="s">
        <v>579</v>
      </c>
      <c r="C184" s="100">
        <v>67.22</v>
      </c>
      <c r="D184" s="100">
        <v>2.93</v>
      </c>
      <c r="E184" s="1">
        <f>1155+1</f>
        <v>1156</v>
      </c>
      <c r="F184" s="1">
        <f>1155+1.2</f>
        <v>1156.2</v>
      </c>
      <c r="G184" s="100" t="s">
        <v>127</v>
      </c>
      <c r="H184" s="106">
        <v>642</v>
      </c>
      <c r="I184" s="1" t="s">
        <v>178</v>
      </c>
      <c r="J184" s="1" t="s">
        <v>179</v>
      </c>
    </row>
    <row r="185" spans="1:10">
      <c r="A185" s="81" t="s">
        <v>580</v>
      </c>
      <c r="C185" s="100">
        <v>67.22</v>
      </c>
      <c r="D185" s="100">
        <v>2.93</v>
      </c>
      <c r="E185" s="1">
        <f>1172.5+1.14</f>
        <v>1173.6400000000001</v>
      </c>
      <c r="F185" s="1">
        <f>1172.5+1.2</f>
        <v>1173.7</v>
      </c>
      <c r="G185" s="100" t="s">
        <v>127</v>
      </c>
      <c r="H185" s="106">
        <v>642</v>
      </c>
      <c r="I185" s="1" t="s">
        <v>178</v>
      </c>
      <c r="J185" s="1" t="s">
        <v>179</v>
      </c>
    </row>
    <row r="186" spans="1:10">
      <c r="A186" s="81" t="s">
        <v>581</v>
      </c>
      <c r="C186" s="100">
        <v>67.22</v>
      </c>
      <c r="D186" s="100">
        <v>2.93</v>
      </c>
      <c r="E186" s="1">
        <f>1181.9+0.82</f>
        <v>1182.72</v>
      </c>
      <c r="F186" s="1">
        <f>1181.9+0.91</f>
        <v>1182.8100000000002</v>
      </c>
      <c r="G186" s="100" t="s">
        <v>127</v>
      </c>
      <c r="H186" s="106">
        <v>642</v>
      </c>
      <c r="I186" s="1" t="s">
        <v>178</v>
      </c>
      <c r="J186" s="1" t="s">
        <v>179</v>
      </c>
    </row>
    <row r="187" spans="1:10">
      <c r="A187" s="81" t="s">
        <v>582</v>
      </c>
      <c r="C187" s="100">
        <v>67.22</v>
      </c>
      <c r="D187" s="100">
        <v>2.93</v>
      </c>
      <c r="E187" s="1">
        <f>1192.79+0.87</f>
        <v>1193.6599999999999</v>
      </c>
      <c r="F187" s="1">
        <f>1192.79+0.9</f>
        <v>1193.69</v>
      </c>
      <c r="G187" s="100" t="s">
        <v>127</v>
      </c>
      <c r="H187" s="106">
        <v>642</v>
      </c>
      <c r="I187" s="1" t="s">
        <v>178</v>
      </c>
      <c r="J187" s="1" t="s">
        <v>179</v>
      </c>
    </row>
    <row r="188" spans="1:10">
      <c r="A188" s="81" t="s">
        <v>583</v>
      </c>
      <c r="C188" s="100">
        <v>67.22</v>
      </c>
      <c r="D188" s="100">
        <v>2.93</v>
      </c>
      <c r="E188" s="1">
        <f>1195.79+0.79</f>
        <v>1196.58</v>
      </c>
      <c r="F188" s="1">
        <f>1195.79+0.85</f>
        <v>1196.6399999999999</v>
      </c>
      <c r="G188" s="100" t="s">
        <v>127</v>
      </c>
      <c r="H188" s="106">
        <v>642</v>
      </c>
      <c r="I188" s="1" t="s">
        <v>178</v>
      </c>
      <c r="J188" s="1" t="s">
        <v>179</v>
      </c>
    </row>
    <row r="189" spans="1:10">
      <c r="A189" s="81" t="s">
        <v>584</v>
      </c>
      <c r="C189" s="100">
        <v>67.22</v>
      </c>
      <c r="D189" s="100">
        <v>2.93</v>
      </c>
      <c r="E189" s="1">
        <f>1202.4+0.81</f>
        <v>1203.21</v>
      </c>
      <c r="F189" s="1">
        <f>1202.4+0.86</f>
        <v>1203.26</v>
      </c>
      <c r="G189" s="100" t="s">
        <v>127</v>
      </c>
      <c r="H189" s="106">
        <v>642</v>
      </c>
      <c r="I189" s="1" t="s">
        <v>178</v>
      </c>
      <c r="J189" s="1" t="s">
        <v>179</v>
      </c>
    </row>
    <row r="190" spans="1:10">
      <c r="A190" s="81" t="s">
        <v>585</v>
      </c>
      <c r="C190" s="100">
        <v>67.22</v>
      </c>
      <c r="D190" s="100">
        <v>2.93</v>
      </c>
      <c r="E190" s="1">
        <f>1210.4+0.06</f>
        <v>1210.46</v>
      </c>
      <c r="F190" s="1">
        <f>1210.4+0.1</f>
        <v>1210.5</v>
      </c>
      <c r="G190" s="100" t="s">
        <v>127</v>
      </c>
      <c r="H190" s="106">
        <v>642</v>
      </c>
      <c r="I190" s="1" t="s">
        <v>178</v>
      </c>
      <c r="J190" s="1" t="s">
        <v>179</v>
      </c>
    </row>
    <row r="191" spans="1:10">
      <c r="A191" s="81" t="s">
        <v>586</v>
      </c>
      <c r="C191" s="100">
        <v>67.22</v>
      </c>
      <c r="D191" s="100">
        <v>2.93</v>
      </c>
      <c r="E191" s="1">
        <f>1211.9+0.42</f>
        <v>1212.3200000000002</v>
      </c>
      <c r="F191" s="1">
        <f>1211.9+0.46</f>
        <v>1212.3600000000001</v>
      </c>
      <c r="G191" s="100" t="s">
        <v>127</v>
      </c>
      <c r="H191" s="106">
        <v>642</v>
      </c>
      <c r="I191" s="1" t="s">
        <v>178</v>
      </c>
      <c r="J191" s="1" t="s">
        <v>179</v>
      </c>
    </row>
    <row r="192" spans="1:10">
      <c r="A192" s="81" t="s">
        <v>587</v>
      </c>
      <c r="C192" s="100">
        <v>67.22</v>
      </c>
      <c r="D192" s="100">
        <v>2.93</v>
      </c>
      <c r="E192" s="1">
        <f>1219.9+0.5</f>
        <v>1220.4000000000001</v>
      </c>
      <c r="F192" s="1">
        <f>1219.9+0.55</f>
        <v>1220.45</v>
      </c>
      <c r="G192" s="100" t="s">
        <v>127</v>
      </c>
      <c r="H192" s="106">
        <v>642</v>
      </c>
      <c r="I192" s="1" t="s">
        <v>178</v>
      </c>
      <c r="J192" s="1" t="s">
        <v>179</v>
      </c>
    </row>
    <row r="193" spans="1:10">
      <c r="A193" s="81" t="s">
        <v>612</v>
      </c>
      <c r="C193" s="100">
        <v>67.785200000000003</v>
      </c>
      <c r="D193" s="100">
        <v>5.3876999999999997</v>
      </c>
      <c r="E193" s="1">
        <f>410+1.11</f>
        <v>411.11</v>
      </c>
      <c r="F193" s="1">
        <f>410+1.18</f>
        <v>411.18</v>
      </c>
      <c r="G193" s="100" t="s">
        <v>127</v>
      </c>
      <c r="H193" s="106">
        <v>338</v>
      </c>
      <c r="I193" s="1" t="s">
        <v>621</v>
      </c>
      <c r="J193" s="1" t="s">
        <v>622</v>
      </c>
    </row>
    <row r="194" spans="1:10">
      <c r="A194" s="81" t="s">
        <v>613</v>
      </c>
      <c r="C194" s="100">
        <v>67.785200000000003</v>
      </c>
      <c r="D194" s="100">
        <v>5.3876999999999997</v>
      </c>
      <c r="E194" s="1">
        <f>411.5+0.1</f>
        <v>411.6</v>
      </c>
      <c r="F194" s="1">
        <f>411.5+0.17</f>
        <v>411.67</v>
      </c>
      <c r="G194" s="100" t="s">
        <v>127</v>
      </c>
      <c r="H194" s="106">
        <v>338</v>
      </c>
      <c r="I194" s="1" t="s">
        <v>621</v>
      </c>
      <c r="J194" s="1" t="s">
        <v>622</v>
      </c>
    </row>
    <row r="195" spans="1:10">
      <c r="A195" s="81" t="s">
        <v>614</v>
      </c>
      <c r="C195" s="100">
        <v>67.785200000000003</v>
      </c>
      <c r="D195" s="100">
        <v>5.3876999999999997</v>
      </c>
      <c r="E195" s="1">
        <f>413+0.89</f>
        <v>413.89</v>
      </c>
      <c r="F195" s="1">
        <f>413+0.95</f>
        <v>413.95</v>
      </c>
      <c r="G195" s="100" t="s">
        <v>127</v>
      </c>
      <c r="H195" s="106">
        <v>338</v>
      </c>
      <c r="I195" s="1" t="s">
        <v>621</v>
      </c>
      <c r="J195" s="1" t="s">
        <v>622</v>
      </c>
    </row>
    <row r="196" spans="1:10">
      <c r="A196" s="81" t="s">
        <v>615</v>
      </c>
      <c r="C196" s="100">
        <v>67.785200000000003</v>
      </c>
      <c r="D196" s="100">
        <v>5.3876999999999997</v>
      </c>
      <c r="E196" s="1">
        <f>419.5+0.73</f>
        <v>420.23</v>
      </c>
      <c r="F196" s="1">
        <f>419.5+0.81</f>
        <v>420.31</v>
      </c>
      <c r="G196" s="100" t="s">
        <v>127</v>
      </c>
      <c r="H196" s="106">
        <v>338</v>
      </c>
      <c r="I196" s="1" t="s">
        <v>621</v>
      </c>
      <c r="J196" s="1" t="s">
        <v>622</v>
      </c>
    </row>
    <row r="197" spans="1:10">
      <c r="A197" s="81" t="s">
        <v>616</v>
      </c>
      <c r="C197" s="100">
        <v>67.785200000000003</v>
      </c>
      <c r="D197" s="100">
        <v>5.3876999999999997</v>
      </c>
      <c r="E197" s="1">
        <f>421+0.29</f>
        <v>421.29</v>
      </c>
      <c r="F197" s="1">
        <f>421+0.35</f>
        <v>421.35</v>
      </c>
      <c r="G197" s="100" t="s">
        <v>127</v>
      </c>
      <c r="H197" s="106">
        <v>338</v>
      </c>
      <c r="I197" s="1" t="s">
        <v>621</v>
      </c>
      <c r="J197" s="1" t="s">
        <v>622</v>
      </c>
    </row>
    <row r="198" spans="1:10">
      <c r="A198" s="81" t="s">
        <v>617</v>
      </c>
      <c r="C198" s="100">
        <v>67.785200000000003</v>
      </c>
      <c r="D198" s="100">
        <v>5.3876999999999997</v>
      </c>
      <c r="E198" s="1">
        <f>427.5+1.22</f>
        <v>428.72</v>
      </c>
      <c r="F198" s="1">
        <f>427.5+1.28</f>
        <v>428.78</v>
      </c>
      <c r="G198" s="100" t="s">
        <v>127</v>
      </c>
      <c r="H198" s="106">
        <v>338</v>
      </c>
      <c r="I198" s="1" t="s">
        <v>621</v>
      </c>
      <c r="J198" s="1" t="s">
        <v>622</v>
      </c>
    </row>
    <row r="199" spans="1:10">
      <c r="A199" s="81" t="s">
        <v>618</v>
      </c>
      <c r="C199" s="100">
        <v>67.785200000000003</v>
      </c>
      <c r="D199" s="100">
        <v>5.3876999999999997</v>
      </c>
      <c r="E199" s="1">
        <f>429+0.12</f>
        <v>429.12</v>
      </c>
      <c r="F199" s="1">
        <f>429+0.18</f>
        <v>429.18</v>
      </c>
      <c r="G199" s="100" t="s">
        <v>127</v>
      </c>
      <c r="H199" s="106">
        <v>338</v>
      </c>
      <c r="I199" s="1" t="s">
        <v>621</v>
      </c>
      <c r="J199" s="1" t="s">
        <v>622</v>
      </c>
    </row>
    <row r="200" spans="1:10">
      <c r="A200" s="81" t="s">
        <v>619</v>
      </c>
      <c r="C200" s="100">
        <v>67.785200000000003</v>
      </c>
      <c r="D200" s="100">
        <v>5.3876999999999997</v>
      </c>
      <c r="E200" s="1">
        <f>429+0.83</f>
        <v>429.83</v>
      </c>
      <c r="F200" s="1">
        <f>429+0.89</f>
        <v>429.89</v>
      </c>
      <c r="G200" s="100" t="s">
        <v>127</v>
      </c>
      <c r="H200" s="106">
        <v>338</v>
      </c>
      <c r="I200" s="1" t="s">
        <v>621</v>
      </c>
      <c r="J200" s="1" t="s">
        <v>622</v>
      </c>
    </row>
    <row r="201" spans="1:10">
      <c r="A201" s="81" t="s">
        <v>623</v>
      </c>
      <c r="C201" s="100">
        <v>67.950699999999998</v>
      </c>
      <c r="D201" s="100">
        <v>4.9337</v>
      </c>
      <c r="E201" s="1">
        <f>153+0.77</f>
        <v>153.77000000000001</v>
      </c>
      <c r="F201" s="1">
        <f>153+0.85</f>
        <v>153.85</v>
      </c>
      <c r="G201" s="100" t="s">
        <v>127</v>
      </c>
      <c r="H201" s="106">
        <v>342</v>
      </c>
      <c r="I201" s="1" t="s">
        <v>621</v>
      </c>
      <c r="J201" s="1" t="s">
        <v>622</v>
      </c>
    </row>
    <row r="202" spans="1:10">
      <c r="A202" s="81" t="s">
        <v>624</v>
      </c>
      <c r="C202" s="100">
        <v>67.950699999999998</v>
      </c>
      <c r="D202" s="100">
        <v>4.9337</v>
      </c>
      <c r="E202" s="1">
        <f>154.5+0.94</f>
        <v>155.44</v>
      </c>
      <c r="F202" s="1">
        <f>154.5+1</f>
        <v>155.5</v>
      </c>
      <c r="G202" s="100" t="s">
        <v>127</v>
      </c>
      <c r="H202" s="106">
        <v>342</v>
      </c>
      <c r="I202" s="1" t="s">
        <v>621</v>
      </c>
      <c r="J202" s="1" t="s">
        <v>622</v>
      </c>
    </row>
    <row r="203" spans="1:10">
      <c r="A203" s="81" t="s">
        <v>625</v>
      </c>
      <c r="C203" s="100">
        <v>67.950699999999998</v>
      </c>
      <c r="D203" s="100">
        <v>4.9337</v>
      </c>
      <c r="E203" s="1">
        <f>157.5+1.39</f>
        <v>158.88999999999999</v>
      </c>
      <c r="F203" s="1">
        <f>157.5+1.44</f>
        <v>158.94</v>
      </c>
      <c r="G203" s="100" t="s">
        <v>127</v>
      </c>
      <c r="H203" s="106">
        <v>342</v>
      </c>
      <c r="I203" s="1" t="s">
        <v>621</v>
      </c>
      <c r="J203" s="1" t="s">
        <v>622</v>
      </c>
    </row>
    <row r="204" spans="1:10">
      <c r="A204" s="81" t="s">
        <v>626</v>
      </c>
      <c r="C204" s="100">
        <v>67.950699999999998</v>
      </c>
      <c r="D204" s="100">
        <v>4.9337</v>
      </c>
      <c r="E204" s="1">
        <f>157.5+0.93</f>
        <v>158.43</v>
      </c>
      <c r="F204" s="1">
        <f>157.5+1</f>
        <v>158.5</v>
      </c>
      <c r="G204" s="100" t="s">
        <v>127</v>
      </c>
      <c r="H204" s="106">
        <v>342</v>
      </c>
      <c r="I204" s="1" t="s">
        <v>621</v>
      </c>
      <c r="J204" s="1" t="s">
        <v>622</v>
      </c>
    </row>
    <row r="205" spans="1:10">
      <c r="A205" s="81" t="s">
        <v>627</v>
      </c>
      <c r="C205" s="100">
        <v>67.950699999999998</v>
      </c>
      <c r="D205" s="100">
        <v>4.9337</v>
      </c>
      <c r="E205" s="1">
        <f>161+1.01</f>
        <v>162.01</v>
      </c>
      <c r="F205" s="1">
        <f>161+1.06</f>
        <v>162.06</v>
      </c>
      <c r="G205" s="100" t="s">
        <v>127</v>
      </c>
      <c r="H205" s="106">
        <v>342</v>
      </c>
      <c r="I205" s="1" t="s">
        <v>621</v>
      </c>
      <c r="J205" s="1" t="s">
        <v>622</v>
      </c>
    </row>
    <row r="206" spans="1:10">
      <c r="A206" s="81" t="s">
        <v>628</v>
      </c>
      <c r="C206" s="100">
        <v>67.950699999999998</v>
      </c>
      <c r="D206" s="100">
        <v>4.9337</v>
      </c>
      <c r="E206" s="1">
        <f>161+0.93</f>
        <v>161.93</v>
      </c>
      <c r="F206" s="1">
        <f>161+0.99</f>
        <v>161.99</v>
      </c>
      <c r="G206" s="100" t="s">
        <v>127</v>
      </c>
      <c r="H206" s="106">
        <v>342</v>
      </c>
      <c r="I206" s="1" t="s">
        <v>621</v>
      </c>
      <c r="J206" s="1" t="s">
        <v>622</v>
      </c>
    </row>
    <row r="207" spans="1:10">
      <c r="A207" s="81" t="s">
        <v>629</v>
      </c>
      <c r="C207" s="100">
        <v>67.950699999999998</v>
      </c>
      <c r="D207" s="100">
        <v>4.9337</v>
      </c>
      <c r="E207" s="1">
        <f>162.5+1.44</f>
        <v>163.94</v>
      </c>
      <c r="F207" s="1">
        <f>162.5+1.5</f>
        <v>164</v>
      </c>
      <c r="G207" s="100" t="s">
        <v>127</v>
      </c>
      <c r="H207" s="106">
        <v>342</v>
      </c>
      <c r="I207" s="1" t="s">
        <v>621</v>
      </c>
      <c r="J207" s="1" t="s">
        <v>622</v>
      </c>
    </row>
    <row r="208" spans="1:10">
      <c r="A208" s="81" t="s">
        <v>630</v>
      </c>
      <c r="C208" s="100">
        <v>67.950699999999998</v>
      </c>
      <c r="D208" s="100">
        <v>4.9337</v>
      </c>
      <c r="E208" s="1">
        <f>162.5+0.65</f>
        <v>163.15</v>
      </c>
      <c r="F208" s="1">
        <f>162.5+0.73</f>
        <v>163.22999999999999</v>
      </c>
      <c r="G208" s="100" t="s">
        <v>127</v>
      </c>
      <c r="H208" s="106">
        <v>342</v>
      </c>
      <c r="I208" s="1" t="s">
        <v>621</v>
      </c>
      <c r="J208" s="1" t="s">
        <v>622</v>
      </c>
    </row>
    <row r="209" spans="1:10">
      <c r="A209" s="81" t="s">
        <v>631</v>
      </c>
      <c r="C209" s="100">
        <v>67.950699999999998</v>
      </c>
      <c r="D209" s="100">
        <v>4.9337</v>
      </c>
      <c r="E209" s="1">
        <f>162.5+0.09</f>
        <v>162.59</v>
      </c>
      <c r="F209" s="1">
        <f>162.5+0.16</f>
        <v>162.66</v>
      </c>
      <c r="G209" s="100" t="s">
        <v>127</v>
      </c>
      <c r="H209" s="106">
        <v>342</v>
      </c>
      <c r="I209" s="1" t="s">
        <v>621</v>
      </c>
      <c r="J209" s="1" t="s">
        <v>622</v>
      </c>
    </row>
    <row r="210" spans="1:10">
      <c r="A210" s="81" t="s">
        <v>632</v>
      </c>
      <c r="C210" s="100">
        <v>67.950699999999998</v>
      </c>
      <c r="D210" s="100">
        <v>4.9337</v>
      </c>
      <c r="E210" s="1">
        <f>164+1.43</f>
        <v>165.43</v>
      </c>
      <c r="F210" s="1">
        <f>164+1.5</f>
        <v>165.5</v>
      </c>
      <c r="G210" s="100" t="s">
        <v>127</v>
      </c>
      <c r="H210" s="106">
        <v>342</v>
      </c>
      <c r="I210" s="1" t="s">
        <v>621</v>
      </c>
      <c r="J210" s="1" t="s">
        <v>622</v>
      </c>
    </row>
    <row r="211" spans="1:10">
      <c r="A211" s="81" t="s">
        <v>633</v>
      </c>
      <c r="C211" s="100">
        <v>67.950699999999998</v>
      </c>
      <c r="D211" s="100">
        <v>4.9337</v>
      </c>
      <c r="E211" s="1">
        <f>165.5+1.44</f>
        <v>166.94</v>
      </c>
      <c r="F211" s="1">
        <f>165.5+1.5</f>
        <v>167</v>
      </c>
      <c r="G211" s="100" t="s">
        <v>127</v>
      </c>
      <c r="H211" s="106">
        <v>342</v>
      </c>
      <c r="I211" s="1" t="s">
        <v>621</v>
      </c>
      <c r="J211" s="1" t="s">
        <v>622</v>
      </c>
    </row>
    <row r="212" spans="1:10">
      <c r="A212" s="81" t="s">
        <v>634</v>
      </c>
      <c r="C212" s="100">
        <v>67.950699999999998</v>
      </c>
      <c r="D212" s="100">
        <v>4.9337</v>
      </c>
      <c r="E212" s="1">
        <f>165.5+0.55</f>
        <v>166.05</v>
      </c>
      <c r="F212" s="1">
        <f>165.5+0.64</f>
        <v>166.14</v>
      </c>
      <c r="G212" s="100" t="s">
        <v>127</v>
      </c>
      <c r="H212" s="106">
        <v>342</v>
      </c>
      <c r="I212" s="1" t="s">
        <v>621</v>
      </c>
      <c r="J212" s="1" t="s">
        <v>622</v>
      </c>
    </row>
    <row r="213" spans="1:10">
      <c r="A213" s="81" t="s">
        <v>651</v>
      </c>
      <c r="C213" s="100">
        <v>68.715199999999996</v>
      </c>
      <c r="D213" s="100">
        <v>5.7622</v>
      </c>
      <c r="E213" s="1">
        <f>251.5+1.47</f>
        <v>252.97</v>
      </c>
      <c r="F213" s="1">
        <f>251.5+1.5</f>
        <v>253</v>
      </c>
      <c r="G213" s="100" t="s">
        <v>127</v>
      </c>
      <c r="H213" s="106">
        <v>343</v>
      </c>
      <c r="I213" s="1" t="s">
        <v>621</v>
      </c>
      <c r="J213" s="1" t="s">
        <v>622</v>
      </c>
    </row>
    <row r="214" spans="1:10">
      <c r="A214" s="81" t="s">
        <v>652</v>
      </c>
      <c r="C214" s="100">
        <v>68.715199999999996</v>
      </c>
      <c r="D214" s="100">
        <v>5.7622</v>
      </c>
      <c r="E214" s="1">
        <f>253.5+1.47</f>
        <v>254.97</v>
      </c>
      <c r="F214" s="1">
        <f>253.5+1.5</f>
        <v>255</v>
      </c>
      <c r="G214" s="100" t="s">
        <v>127</v>
      </c>
      <c r="H214" s="106">
        <v>343</v>
      </c>
      <c r="I214" s="1" t="s">
        <v>621</v>
      </c>
      <c r="J214" s="1" t="s">
        <v>622</v>
      </c>
    </row>
    <row r="215" spans="1:10">
      <c r="A215" s="81" t="s">
        <v>653</v>
      </c>
      <c r="C215" s="100">
        <v>68.715199999999996</v>
      </c>
      <c r="D215" s="100">
        <v>5.7622</v>
      </c>
      <c r="E215" s="1">
        <f>253.5+0.24</f>
        <v>253.74</v>
      </c>
      <c r="F215" s="1">
        <f>253.5+0.3</f>
        <v>253.8</v>
      </c>
      <c r="G215" s="100" t="s">
        <v>127</v>
      </c>
      <c r="H215" s="106">
        <v>343</v>
      </c>
      <c r="I215" s="1" t="s">
        <v>621</v>
      </c>
      <c r="J215" s="1" t="s">
        <v>622</v>
      </c>
    </row>
    <row r="216" spans="1:10">
      <c r="A216" s="81" t="s">
        <v>654</v>
      </c>
      <c r="C216" s="100">
        <v>68.715199999999996</v>
      </c>
      <c r="D216" s="100">
        <v>5.7622</v>
      </c>
      <c r="E216" s="1">
        <f>281.5+1.24</f>
        <v>282.74</v>
      </c>
      <c r="F216" s="1">
        <f>281.5+1.3</f>
        <v>282.8</v>
      </c>
      <c r="G216" s="100" t="s">
        <v>127</v>
      </c>
      <c r="H216" s="106">
        <v>343</v>
      </c>
      <c r="I216" s="1" t="s">
        <v>621</v>
      </c>
      <c r="J216" s="1" t="s">
        <v>622</v>
      </c>
    </row>
    <row r="217" spans="1:10">
      <c r="A217" s="81" t="s">
        <v>1437</v>
      </c>
      <c r="C217" s="1">
        <v>65.364189999999994</v>
      </c>
      <c r="D217" s="1">
        <v>3.0542699999999998</v>
      </c>
      <c r="E217" s="1">
        <f>52.9+0.7</f>
        <v>53.6</v>
      </c>
      <c r="F217" s="1">
        <f>52.9+0.75</f>
        <v>53.65</v>
      </c>
      <c r="G217" s="100" t="s">
        <v>127</v>
      </c>
      <c r="H217" s="1" t="s">
        <v>1445</v>
      </c>
      <c r="I217" s="100" t="s">
        <v>126</v>
      </c>
      <c r="J217" s="101" t="s">
        <v>128</v>
      </c>
    </row>
    <row r="218" spans="1:10">
      <c r="A218" s="81" t="s">
        <v>1493</v>
      </c>
      <c r="C218" s="1">
        <v>65.363079999999997</v>
      </c>
      <c r="D218" s="1">
        <v>3.053655</v>
      </c>
      <c r="E218" s="1">
        <f>84.2+0.45</f>
        <v>84.65</v>
      </c>
      <c r="F218" s="1">
        <f>84.2+0.46</f>
        <v>84.66</v>
      </c>
      <c r="G218" s="100" t="s">
        <v>127</v>
      </c>
      <c r="H218" s="1" t="s">
        <v>1445</v>
      </c>
      <c r="I218" s="100" t="s">
        <v>126</v>
      </c>
      <c r="J218" s="101" t="s">
        <v>128</v>
      </c>
    </row>
    <row r="219" spans="1:10">
      <c r="A219" s="81" t="s">
        <v>1440</v>
      </c>
      <c r="C219" s="1">
        <v>65.363079999999997</v>
      </c>
      <c r="D219" s="1">
        <v>3.053655</v>
      </c>
      <c r="E219" s="1">
        <f>70.8+0.1</f>
        <v>70.899999999999991</v>
      </c>
      <c r="F219" s="1">
        <f>70.8+0.14</f>
        <v>70.94</v>
      </c>
      <c r="G219" s="100" t="s">
        <v>127</v>
      </c>
      <c r="H219" s="1" t="s">
        <v>1445</v>
      </c>
      <c r="I219" s="100" t="s">
        <v>126</v>
      </c>
      <c r="J219" s="101" t="s">
        <v>128</v>
      </c>
    </row>
    <row r="220" spans="1:10">
      <c r="A220" s="81" t="s">
        <v>1436</v>
      </c>
      <c r="C220" s="1">
        <v>65.363079999999997</v>
      </c>
      <c r="D220" s="1">
        <v>3.053655</v>
      </c>
      <c r="E220" s="1">
        <f>96.91+0.06</f>
        <v>96.97</v>
      </c>
      <c r="F220" s="1">
        <f>96.91+0.07</f>
        <v>96.97999999999999</v>
      </c>
      <c r="G220" s="100" t="s">
        <v>127</v>
      </c>
      <c r="H220" s="1" t="s">
        <v>1445</v>
      </c>
      <c r="I220" s="100" t="s">
        <v>126</v>
      </c>
      <c r="J220" s="101" t="s">
        <v>128</v>
      </c>
    </row>
    <row r="221" spans="1:10">
      <c r="A221" s="81" t="s">
        <v>1438</v>
      </c>
      <c r="C221" s="1">
        <v>65.359903000000003</v>
      </c>
      <c r="D221" s="1">
        <v>3.0518179999999999</v>
      </c>
      <c r="E221" s="1">
        <f>91.69+0.99</f>
        <v>92.679999999999993</v>
      </c>
      <c r="F221" s="1">
        <f>91.69+1</f>
        <v>92.69</v>
      </c>
      <c r="G221" s="100" t="s">
        <v>127</v>
      </c>
      <c r="H221" s="1" t="s">
        <v>1446</v>
      </c>
      <c r="I221" s="100" t="s">
        <v>126</v>
      </c>
      <c r="J221" s="101" t="s">
        <v>128</v>
      </c>
    </row>
    <row r="222" spans="1:10">
      <c r="A222" s="81" t="s">
        <v>1439</v>
      </c>
      <c r="C222" s="1">
        <v>65.359903000000003</v>
      </c>
      <c r="D222" s="1">
        <v>3.0518179999999999</v>
      </c>
      <c r="E222" s="1">
        <f>71.6+0.38</f>
        <v>71.97999999999999</v>
      </c>
      <c r="F222" s="1">
        <f>71.6+0.4</f>
        <v>72</v>
      </c>
      <c r="G222" s="100" t="s">
        <v>127</v>
      </c>
      <c r="H222" s="1" t="s">
        <v>1446</v>
      </c>
      <c r="I222" s="100" t="s">
        <v>126</v>
      </c>
      <c r="J222" s="101" t="s">
        <v>128</v>
      </c>
    </row>
    <row r="223" spans="1:10">
      <c r="A223" s="81" t="s">
        <v>1441</v>
      </c>
      <c r="C223" s="1">
        <v>65.361050000000006</v>
      </c>
      <c r="D223" s="1">
        <v>3.0525669999999998</v>
      </c>
      <c r="E223" s="1">
        <f>54+1.13</f>
        <v>55.13</v>
      </c>
      <c r="F223" s="1">
        <f>54+1.15</f>
        <v>55.15</v>
      </c>
      <c r="G223" s="100" t="s">
        <v>127</v>
      </c>
      <c r="H223" s="1" t="s">
        <v>1446</v>
      </c>
      <c r="I223" s="100" t="s">
        <v>126</v>
      </c>
      <c r="J223" s="101" t="s">
        <v>128</v>
      </c>
    </row>
    <row r="224" spans="1:10">
      <c r="A224" s="81" t="s">
        <v>1494</v>
      </c>
      <c r="C224" s="1">
        <v>65.361050000000006</v>
      </c>
      <c r="D224" s="1">
        <v>3.0525669999999998</v>
      </c>
      <c r="E224" s="1">
        <f>78.6+0.19</f>
        <v>78.789999999999992</v>
      </c>
      <c r="F224" s="1">
        <f>78.6+0.21</f>
        <v>78.809999999999988</v>
      </c>
      <c r="G224" s="100" t="s">
        <v>127</v>
      </c>
      <c r="H224" s="1" t="s">
        <v>1446</v>
      </c>
      <c r="I224" s="100" t="s">
        <v>126</v>
      </c>
      <c r="J224" s="101" t="s">
        <v>128</v>
      </c>
    </row>
    <row r="225" spans="1:10">
      <c r="A225" s="81" t="s">
        <v>1495</v>
      </c>
      <c r="C225" s="1">
        <v>65.831292000000005</v>
      </c>
      <c r="D225" s="1">
        <v>2.026802</v>
      </c>
      <c r="E225" s="1">
        <f>215.92+0.2</f>
        <v>216.11999999999998</v>
      </c>
      <c r="F225" s="1">
        <f>215.92+0.22</f>
        <v>216.14</v>
      </c>
      <c r="G225" s="100" t="s">
        <v>127</v>
      </c>
      <c r="H225" s="1" t="s">
        <v>1447</v>
      </c>
      <c r="I225" s="100" t="s">
        <v>126</v>
      </c>
      <c r="J225" s="101" t="s">
        <v>128</v>
      </c>
    </row>
    <row r="226" spans="1:10">
      <c r="A226" s="81" t="s">
        <v>1496</v>
      </c>
      <c r="C226" s="1">
        <v>65.831292000000005</v>
      </c>
      <c r="D226" s="1">
        <v>2.026802</v>
      </c>
      <c r="E226" s="1">
        <f>265.1+0.74</f>
        <v>265.84000000000003</v>
      </c>
      <c r="F226" s="1">
        <f>265.1+0.76</f>
        <v>265.86</v>
      </c>
      <c r="G226" s="100" t="s">
        <v>127</v>
      </c>
      <c r="H226" s="1" t="s">
        <v>1447</v>
      </c>
      <c r="I226" s="100" t="s">
        <v>126</v>
      </c>
      <c r="J226" s="101" t="s">
        <v>128</v>
      </c>
    </row>
    <row r="227" spans="1:10">
      <c r="A227" s="81" t="s">
        <v>1442</v>
      </c>
      <c r="C227" s="1">
        <v>65.831292000000005</v>
      </c>
      <c r="D227" s="1">
        <v>2.026802</v>
      </c>
      <c r="E227" s="1">
        <f>234.3+0.13</f>
        <v>234.43</v>
      </c>
      <c r="F227" s="1">
        <f>234.3+0.15</f>
        <v>234.45000000000002</v>
      </c>
      <c r="G227" s="100" t="s">
        <v>127</v>
      </c>
      <c r="H227" s="1" t="s">
        <v>1447</v>
      </c>
      <c r="I227" s="100" t="s">
        <v>126</v>
      </c>
      <c r="J227" s="101" t="s">
        <v>128</v>
      </c>
    </row>
    <row r="228" spans="1:10">
      <c r="A228" s="81" t="s">
        <v>1443</v>
      </c>
      <c r="C228" s="1">
        <v>65.831180000000003</v>
      </c>
      <c r="D228" s="1">
        <v>1.9862379999999999</v>
      </c>
      <c r="E228" s="1">
        <f>51.8+1.06</f>
        <v>52.86</v>
      </c>
      <c r="F228" s="1">
        <f>51.8+1.09</f>
        <v>52.89</v>
      </c>
      <c r="G228" s="100" t="s">
        <v>127</v>
      </c>
      <c r="H228" s="1" t="s">
        <v>1448</v>
      </c>
      <c r="I228" s="100" t="s">
        <v>126</v>
      </c>
      <c r="J228" s="101" t="s">
        <v>128</v>
      </c>
    </row>
    <row r="229" spans="1:10">
      <c r="A229" s="81" t="s">
        <v>1444</v>
      </c>
      <c r="C229" s="1">
        <v>65.831180000000003</v>
      </c>
      <c r="D229" s="1">
        <v>1.9862379999999999</v>
      </c>
      <c r="E229" s="1">
        <f>91.88+0.08</f>
        <v>91.96</v>
      </c>
      <c r="F229" s="1">
        <f>91.88+0.1</f>
        <v>91.97999999999999</v>
      </c>
      <c r="G229" s="100" t="s">
        <v>127</v>
      </c>
      <c r="H229" s="1" t="s">
        <v>1448</v>
      </c>
      <c r="I229" s="100" t="s">
        <v>126</v>
      </c>
      <c r="J229" s="101" t="s">
        <v>128</v>
      </c>
    </row>
    <row r="230" spans="1:10">
      <c r="A230" s="81" t="s">
        <v>656</v>
      </c>
      <c r="C230" s="100">
        <v>64.971111111111099</v>
      </c>
      <c r="D230" s="100">
        <v>2.7608333333333301</v>
      </c>
      <c r="E230" s="1">
        <v>26.32</v>
      </c>
      <c r="F230" s="1">
        <v>26.32</v>
      </c>
      <c r="G230" s="100" t="s">
        <v>127</v>
      </c>
      <c r="H230" s="100" t="s">
        <v>125</v>
      </c>
      <c r="I230" s="100" t="s">
        <v>126</v>
      </c>
      <c r="J230" s="101" t="s">
        <v>128</v>
      </c>
    </row>
    <row r="231" spans="1:10">
      <c r="A231" s="81" t="s">
        <v>657</v>
      </c>
      <c r="C231" s="100">
        <v>64.971111111111099</v>
      </c>
      <c r="D231" s="100">
        <v>2.7608333333333301</v>
      </c>
      <c r="E231" s="1">
        <v>26.68</v>
      </c>
      <c r="F231" s="1">
        <v>26.68</v>
      </c>
      <c r="G231" s="100" t="s">
        <v>127</v>
      </c>
      <c r="H231" s="100" t="s">
        <v>125</v>
      </c>
      <c r="I231" s="100" t="s">
        <v>126</v>
      </c>
      <c r="J231" s="101" t="s">
        <v>128</v>
      </c>
    </row>
    <row r="232" spans="1:10">
      <c r="A232" s="81" t="s">
        <v>658</v>
      </c>
      <c r="C232" s="100">
        <v>64.971111111111099</v>
      </c>
      <c r="D232" s="100">
        <v>2.7608333333333301</v>
      </c>
      <c r="E232" s="1">
        <v>26.91</v>
      </c>
      <c r="F232" s="1">
        <v>26.91</v>
      </c>
      <c r="G232" s="100" t="s">
        <v>127</v>
      </c>
      <c r="H232" s="100" t="s">
        <v>125</v>
      </c>
      <c r="I232" s="100" t="s">
        <v>126</v>
      </c>
      <c r="J232" s="101" t="s">
        <v>128</v>
      </c>
    </row>
    <row r="233" spans="1:10">
      <c r="A233" s="81" t="s">
        <v>659</v>
      </c>
      <c r="C233" s="100">
        <v>64.971111111111099</v>
      </c>
      <c r="D233" s="100">
        <v>2.7608333333333301</v>
      </c>
      <c r="E233" s="1">
        <v>27.849999999999998</v>
      </c>
      <c r="F233" s="1">
        <v>27.849999999999998</v>
      </c>
      <c r="G233" s="100" t="s">
        <v>127</v>
      </c>
      <c r="H233" s="100" t="s">
        <v>125</v>
      </c>
      <c r="I233" s="100" t="s">
        <v>126</v>
      </c>
      <c r="J233" s="101" t="s">
        <v>128</v>
      </c>
    </row>
    <row r="234" spans="1:10">
      <c r="A234" s="81" t="s">
        <v>660</v>
      </c>
      <c r="C234" s="100">
        <v>64.971111111111099</v>
      </c>
      <c r="D234" s="100">
        <v>2.7608333333333301</v>
      </c>
      <c r="E234" s="1">
        <v>28.43</v>
      </c>
      <c r="F234" s="1">
        <v>28.43</v>
      </c>
      <c r="G234" s="100" t="s">
        <v>127</v>
      </c>
      <c r="H234" s="100" t="s">
        <v>125</v>
      </c>
      <c r="I234" s="100" t="s">
        <v>126</v>
      </c>
      <c r="J234" s="101" t="s">
        <v>128</v>
      </c>
    </row>
    <row r="235" spans="1:10">
      <c r="A235" s="81" t="s">
        <v>661</v>
      </c>
      <c r="C235" s="100">
        <v>64.971111111111099</v>
      </c>
      <c r="D235" s="100">
        <v>2.7608333333333301</v>
      </c>
      <c r="E235" s="1">
        <v>28.95</v>
      </c>
      <c r="F235" s="1">
        <v>28.95</v>
      </c>
      <c r="G235" s="100" t="s">
        <v>127</v>
      </c>
      <c r="H235" s="100" t="s">
        <v>125</v>
      </c>
      <c r="I235" s="100" t="s">
        <v>126</v>
      </c>
      <c r="J235" s="101" t="s">
        <v>128</v>
      </c>
    </row>
    <row r="236" spans="1:10">
      <c r="A236" s="81" t="s">
        <v>662</v>
      </c>
      <c r="C236" s="100">
        <v>64.971111111111099</v>
      </c>
      <c r="D236" s="100">
        <v>2.7608333333333301</v>
      </c>
      <c r="E236" s="1">
        <v>31.55</v>
      </c>
      <c r="F236" s="1">
        <v>31.55</v>
      </c>
      <c r="G236" s="100" t="s">
        <v>127</v>
      </c>
      <c r="H236" s="100" t="s">
        <v>125</v>
      </c>
      <c r="I236" s="100" t="s">
        <v>126</v>
      </c>
      <c r="J236" s="101" t="s">
        <v>128</v>
      </c>
    </row>
    <row r="237" spans="1:10">
      <c r="A237" s="81" t="s">
        <v>663</v>
      </c>
      <c r="C237" s="100">
        <v>64.971111111111099</v>
      </c>
      <c r="D237" s="100">
        <v>2.7608333333333301</v>
      </c>
      <c r="E237" s="1">
        <v>32.36</v>
      </c>
      <c r="F237" s="1">
        <v>32.36</v>
      </c>
      <c r="G237" s="100" t="s">
        <v>127</v>
      </c>
      <c r="H237" s="100" t="s">
        <v>125</v>
      </c>
      <c r="I237" s="100" t="s">
        <v>126</v>
      </c>
      <c r="J237" s="101" t="s">
        <v>128</v>
      </c>
    </row>
    <row r="238" spans="1:10">
      <c r="A238" s="81" t="s">
        <v>664</v>
      </c>
      <c r="C238" s="100">
        <v>64.971111111111099</v>
      </c>
      <c r="D238" s="100">
        <v>2.7608333333333301</v>
      </c>
      <c r="E238" s="1">
        <v>32.770000000000003</v>
      </c>
      <c r="F238" s="1">
        <v>32.770000000000003</v>
      </c>
      <c r="G238" s="100" t="s">
        <v>127</v>
      </c>
      <c r="H238" s="100" t="s">
        <v>125</v>
      </c>
      <c r="I238" s="100" t="s">
        <v>126</v>
      </c>
      <c r="J238" s="101" t="s">
        <v>128</v>
      </c>
    </row>
    <row r="239" spans="1:10">
      <c r="A239" s="81" t="s">
        <v>665</v>
      </c>
      <c r="C239" s="100">
        <v>64.971111111111099</v>
      </c>
      <c r="D239" s="100">
        <v>2.7608333333333301</v>
      </c>
      <c r="E239" s="1">
        <v>33.849999999999994</v>
      </c>
      <c r="F239" s="1">
        <v>33.849999999999994</v>
      </c>
      <c r="G239" s="100" t="s">
        <v>127</v>
      </c>
      <c r="H239" s="100" t="s">
        <v>125</v>
      </c>
      <c r="I239" s="100" t="s">
        <v>126</v>
      </c>
      <c r="J239" s="101" t="s">
        <v>128</v>
      </c>
    </row>
    <row r="240" spans="1:10">
      <c r="A240" s="81" t="s">
        <v>666</v>
      </c>
      <c r="C240" s="100">
        <v>64.971111111111099</v>
      </c>
      <c r="D240" s="100">
        <v>2.7608333333333301</v>
      </c>
      <c r="E240" s="1">
        <v>34.19</v>
      </c>
      <c r="F240" s="1">
        <v>34.19</v>
      </c>
      <c r="G240" s="100" t="s">
        <v>127</v>
      </c>
      <c r="H240" s="100" t="s">
        <v>125</v>
      </c>
      <c r="I240" s="100" t="s">
        <v>126</v>
      </c>
      <c r="J240" s="101" t="s">
        <v>128</v>
      </c>
    </row>
    <row r="241" spans="1:10">
      <c r="A241" s="81" t="s">
        <v>667</v>
      </c>
      <c r="C241" s="100">
        <v>64.971111111111099</v>
      </c>
      <c r="D241" s="100">
        <v>2.7608333333333301</v>
      </c>
      <c r="E241" s="1">
        <v>37.69</v>
      </c>
      <c r="F241" s="1">
        <v>37.69</v>
      </c>
      <c r="G241" s="100" t="s">
        <v>127</v>
      </c>
      <c r="H241" s="100" t="s">
        <v>125</v>
      </c>
      <c r="I241" s="100" t="s">
        <v>126</v>
      </c>
      <c r="J241" s="101" t="s">
        <v>128</v>
      </c>
    </row>
    <row r="242" spans="1:10">
      <c r="A242" s="81" t="s">
        <v>668</v>
      </c>
      <c r="C242" s="100">
        <v>64.971111111111099</v>
      </c>
      <c r="D242" s="100">
        <v>2.7608333333333301</v>
      </c>
      <c r="E242" s="1">
        <v>42.72</v>
      </c>
      <c r="F242" s="1">
        <v>42.72</v>
      </c>
      <c r="G242" s="100" t="s">
        <v>127</v>
      </c>
      <c r="H242" s="100" t="s">
        <v>125</v>
      </c>
      <c r="I242" s="100" t="s">
        <v>126</v>
      </c>
      <c r="J242" s="101" t="s">
        <v>128</v>
      </c>
    </row>
    <row r="243" spans="1:10">
      <c r="A243" s="81" t="s">
        <v>669</v>
      </c>
      <c r="C243" s="100">
        <v>64.971111111111099</v>
      </c>
      <c r="D243" s="100">
        <v>2.7608333333333301</v>
      </c>
      <c r="E243" s="1">
        <v>42.85</v>
      </c>
      <c r="F243" s="1">
        <v>42.85</v>
      </c>
      <c r="G243" s="100" t="s">
        <v>127</v>
      </c>
      <c r="H243" s="100" t="s">
        <v>125</v>
      </c>
      <c r="I243" s="100" t="s">
        <v>126</v>
      </c>
      <c r="J243" s="101" t="s">
        <v>128</v>
      </c>
    </row>
    <row r="244" spans="1:10">
      <c r="A244" s="81" t="s">
        <v>670</v>
      </c>
      <c r="C244" s="100">
        <v>64.971111111111099</v>
      </c>
      <c r="D244" s="100">
        <v>2.7608333333333301</v>
      </c>
      <c r="E244" s="1">
        <v>44.064999999999998</v>
      </c>
      <c r="F244" s="1">
        <v>44.064999999999998</v>
      </c>
      <c r="G244" s="100" t="s">
        <v>127</v>
      </c>
      <c r="H244" s="100" t="s">
        <v>125</v>
      </c>
      <c r="I244" s="100" t="s">
        <v>126</v>
      </c>
      <c r="J244" s="101" t="s">
        <v>128</v>
      </c>
    </row>
    <row r="245" spans="1:10">
      <c r="A245" s="81" t="s">
        <v>671</v>
      </c>
      <c r="C245" s="100">
        <v>64.971111111111099</v>
      </c>
      <c r="D245" s="100">
        <v>2.7608333333333301</v>
      </c>
      <c r="E245" s="1">
        <v>44.96</v>
      </c>
      <c r="F245" s="1">
        <v>44.96</v>
      </c>
      <c r="G245" s="100" t="s">
        <v>127</v>
      </c>
      <c r="H245" s="100" t="s">
        <v>125</v>
      </c>
      <c r="I245" s="100" t="s">
        <v>126</v>
      </c>
      <c r="J245" s="101" t="s">
        <v>128</v>
      </c>
    </row>
    <row r="246" spans="1:10">
      <c r="A246" s="81" t="s">
        <v>672</v>
      </c>
      <c r="C246" s="100">
        <v>64.971111111111099</v>
      </c>
      <c r="D246" s="100">
        <v>2.7608333333333301</v>
      </c>
      <c r="E246" s="1">
        <v>44.97</v>
      </c>
      <c r="F246" s="1">
        <v>44.97</v>
      </c>
      <c r="G246" s="100" t="s">
        <v>127</v>
      </c>
      <c r="H246" s="100" t="s">
        <v>125</v>
      </c>
      <c r="I246" s="100" t="s">
        <v>126</v>
      </c>
      <c r="J246" s="101" t="s">
        <v>128</v>
      </c>
    </row>
    <row r="247" spans="1:10">
      <c r="A247" s="81" t="s">
        <v>673</v>
      </c>
      <c r="C247" s="100">
        <v>64.971111111111099</v>
      </c>
      <c r="D247" s="100">
        <v>2.7608333333333301</v>
      </c>
      <c r="E247" s="1">
        <v>47.71</v>
      </c>
      <c r="F247" s="1">
        <v>47.71</v>
      </c>
      <c r="G247" s="100" t="s">
        <v>127</v>
      </c>
      <c r="H247" s="100" t="s">
        <v>125</v>
      </c>
      <c r="I247" s="100" t="s">
        <v>126</v>
      </c>
      <c r="J247" s="101" t="s">
        <v>128</v>
      </c>
    </row>
    <row r="248" spans="1:10">
      <c r="A248" s="81" t="s">
        <v>674</v>
      </c>
      <c r="C248" s="100">
        <v>64.971111111111099</v>
      </c>
      <c r="D248" s="100">
        <v>2.7608333333333301</v>
      </c>
      <c r="E248" s="1">
        <v>51.02</v>
      </c>
      <c r="F248" s="1">
        <v>51.02</v>
      </c>
      <c r="G248" s="100" t="s">
        <v>127</v>
      </c>
      <c r="H248" s="100" t="s">
        <v>125</v>
      </c>
      <c r="I248" s="100" t="s">
        <v>126</v>
      </c>
      <c r="J248" s="101" t="s">
        <v>128</v>
      </c>
    </row>
    <row r="249" spans="1:10">
      <c r="A249" s="81" t="s">
        <v>675</v>
      </c>
      <c r="C249" s="100">
        <v>64.971111111111099</v>
      </c>
      <c r="D249" s="100">
        <v>2.7608333333333301</v>
      </c>
      <c r="E249" s="1">
        <v>56.769999999999996</v>
      </c>
      <c r="F249" s="1">
        <v>56.769999999999996</v>
      </c>
      <c r="G249" s="100" t="s">
        <v>127</v>
      </c>
      <c r="H249" s="100" t="s">
        <v>125</v>
      </c>
      <c r="I249" s="100" t="s">
        <v>126</v>
      </c>
      <c r="J249" s="101" t="s">
        <v>128</v>
      </c>
    </row>
    <row r="250" spans="1:10">
      <c r="A250" s="81" t="s">
        <v>676</v>
      </c>
      <c r="C250" s="100">
        <v>64.971111111111099</v>
      </c>
      <c r="D250" s="100">
        <v>2.7608333333333301</v>
      </c>
      <c r="E250" s="1">
        <v>61.73</v>
      </c>
      <c r="F250" s="1">
        <v>61.73</v>
      </c>
      <c r="G250" s="100" t="s">
        <v>127</v>
      </c>
      <c r="H250" s="100" t="s">
        <v>125</v>
      </c>
      <c r="I250" s="100" t="s">
        <v>126</v>
      </c>
      <c r="J250" s="101" t="s">
        <v>128</v>
      </c>
    </row>
    <row r="251" spans="1:10">
      <c r="A251" s="81" t="s">
        <v>677</v>
      </c>
      <c r="C251" s="100">
        <v>64.971111111111099</v>
      </c>
      <c r="D251" s="100">
        <v>2.7608333333333301</v>
      </c>
      <c r="E251" s="1">
        <v>67.13000000000001</v>
      </c>
      <c r="F251" s="1">
        <v>67.13000000000001</v>
      </c>
      <c r="G251" s="100" t="s">
        <v>127</v>
      </c>
      <c r="H251" s="100" t="s">
        <v>125</v>
      </c>
      <c r="I251" s="100" t="s">
        <v>126</v>
      </c>
      <c r="J251" s="101" t="s">
        <v>128</v>
      </c>
    </row>
    <row r="252" spans="1:10">
      <c r="A252" s="81" t="s">
        <v>678</v>
      </c>
      <c r="C252" s="100">
        <v>64.971111111111099</v>
      </c>
      <c r="D252" s="100">
        <v>2.7608333333333301</v>
      </c>
      <c r="E252" s="1">
        <v>70.06</v>
      </c>
      <c r="F252" s="1">
        <v>70.06</v>
      </c>
      <c r="G252" s="100" t="s">
        <v>127</v>
      </c>
      <c r="H252" s="100" t="s">
        <v>125</v>
      </c>
      <c r="I252" s="100" t="s">
        <v>126</v>
      </c>
      <c r="J252" s="101" t="s">
        <v>128</v>
      </c>
    </row>
    <row r="253" spans="1:10">
      <c r="A253" s="81" t="s">
        <v>679</v>
      </c>
      <c r="C253" s="100">
        <v>64.971111111111099</v>
      </c>
      <c r="D253" s="100">
        <v>2.7608333333333301</v>
      </c>
      <c r="E253" s="1">
        <v>70.900000000000006</v>
      </c>
      <c r="F253" s="1">
        <v>70.900000000000006</v>
      </c>
      <c r="G253" s="100" t="s">
        <v>127</v>
      </c>
      <c r="H253" s="100" t="s">
        <v>125</v>
      </c>
      <c r="I253" s="100" t="s">
        <v>126</v>
      </c>
      <c r="J253" s="101" t="s">
        <v>128</v>
      </c>
    </row>
    <row r="254" spans="1:10">
      <c r="A254" s="81" t="s">
        <v>680</v>
      </c>
      <c r="C254" s="100">
        <v>64.971111111111099</v>
      </c>
      <c r="D254" s="100">
        <v>2.7608333333333301</v>
      </c>
      <c r="E254" s="1">
        <v>71.344999999999999</v>
      </c>
      <c r="F254" s="1">
        <v>71.344999999999999</v>
      </c>
      <c r="G254" s="100" t="s">
        <v>127</v>
      </c>
      <c r="H254" s="100" t="s">
        <v>125</v>
      </c>
      <c r="I254" s="100" t="s">
        <v>126</v>
      </c>
      <c r="J254" s="101" t="s">
        <v>128</v>
      </c>
    </row>
    <row r="255" spans="1:10">
      <c r="A255" s="81" t="s">
        <v>681</v>
      </c>
      <c r="C255" s="100">
        <v>64.971111111111099</v>
      </c>
      <c r="D255" s="100">
        <v>2.7608333333333301</v>
      </c>
      <c r="E255" s="1">
        <v>72.035000000000011</v>
      </c>
      <c r="F255" s="1">
        <v>72.035000000000011</v>
      </c>
      <c r="G255" s="100" t="s">
        <v>127</v>
      </c>
      <c r="H255" s="100" t="s">
        <v>125</v>
      </c>
      <c r="I255" s="100" t="s">
        <v>126</v>
      </c>
      <c r="J255" s="101" t="s">
        <v>128</v>
      </c>
    </row>
    <row r="256" spans="1:10">
      <c r="A256" s="81" t="s">
        <v>682</v>
      </c>
      <c r="C256" s="100">
        <v>64.971111111111099</v>
      </c>
      <c r="D256" s="100">
        <v>2.7608333333333301</v>
      </c>
      <c r="E256" s="1">
        <v>73.704999999999998</v>
      </c>
      <c r="F256" s="1">
        <v>73.704999999999998</v>
      </c>
      <c r="G256" s="100" t="s">
        <v>127</v>
      </c>
      <c r="H256" s="100" t="s">
        <v>125</v>
      </c>
      <c r="I256" s="100" t="s">
        <v>126</v>
      </c>
      <c r="J256" s="101" t="s">
        <v>128</v>
      </c>
    </row>
    <row r="257" spans="1:10">
      <c r="A257" s="81" t="s">
        <v>683</v>
      </c>
      <c r="C257" s="100">
        <v>64.971111111111099</v>
      </c>
      <c r="D257" s="100">
        <v>2.7608333333333301</v>
      </c>
      <c r="E257" s="1">
        <v>74.209999999999994</v>
      </c>
      <c r="F257" s="1">
        <v>74.209999999999994</v>
      </c>
      <c r="G257" s="100" t="s">
        <v>127</v>
      </c>
      <c r="H257" s="100" t="s">
        <v>125</v>
      </c>
      <c r="I257" s="100" t="s">
        <v>126</v>
      </c>
      <c r="J257" s="101" t="s">
        <v>128</v>
      </c>
    </row>
    <row r="258" spans="1:10">
      <c r="A258" s="81" t="s">
        <v>684</v>
      </c>
      <c r="C258" s="100">
        <v>64.971111111111099</v>
      </c>
      <c r="D258" s="100">
        <v>2.7608333333333301</v>
      </c>
      <c r="E258" s="1">
        <v>75.180000000000007</v>
      </c>
      <c r="F258" s="1">
        <v>75.180000000000007</v>
      </c>
      <c r="G258" s="100" t="s">
        <v>127</v>
      </c>
      <c r="H258" s="100" t="s">
        <v>125</v>
      </c>
      <c r="I258" s="100" t="s">
        <v>126</v>
      </c>
      <c r="J258" s="101" t="s">
        <v>128</v>
      </c>
    </row>
    <row r="259" spans="1:10">
      <c r="A259" s="81" t="s">
        <v>685</v>
      </c>
      <c r="C259" s="100">
        <v>64.971111111111099</v>
      </c>
      <c r="D259" s="100">
        <v>2.7608333333333301</v>
      </c>
      <c r="E259" s="1">
        <v>76.010000000000005</v>
      </c>
      <c r="F259" s="1">
        <v>76.010000000000005</v>
      </c>
      <c r="G259" s="100" t="s">
        <v>127</v>
      </c>
      <c r="H259" s="100" t="s">
        <v>125</v>
      </c>
      <c r="I259" s="100" t="s">
        <v>126</v>
      </c>
      <c r="J259" s="101" t="s">
        <v>128</v>
      </c>
    </row>
    <row r="260" spans="1:10">
      <c r="A260" s="81" t="s">
        <v>686</v>
      </c>
      <c r="C260" s="100">
        <v>64.971111111111099</v>
      </c>
      <c r="D260" s="100">
        <v>2.7608333333333301</v>
      </c>
      <c r="E260" s="1">
        <v>76.240000000000009</v>
      </c>
      <c r="F260" s="1">
        <v>76.240000000000009</v>
      </c>
      <c r="G260" s="100" t="s">
        <v>127</v>
      </c>
      <c r="H260" s="100" t="s">
        <v>125</v>
      </c>
      <c r="I260" s="100" t="s">
        <v>126</v>
      </c>
      <c r="J260" s="101" t="s">
        <v>128</v>
      </c>
    </row>
    <row r="261" spans="1:10">
      <c r="A261" s="81" t="s">
        <v>687</v>
      </c>
      <c r="C261" s="100">
        <v>64.971111111111099</v>
      </c>
      <c r="D261" s="100">
        <v>2.7608333333333301</v>
      </c>
      <c r="E261" s="1">
        <v>76.84</v>
      </c>
      <c r="F261" s="1">
        <v>76.84</v>
      </c>
      <c r="G261" s="100" t="s">
        <v>127</v>
      </c>
      <c r="H261" s="100" t="s">
        <v>125</v>
      </c>
      <c r="I261" s="100" t="s">
        <v>126</v>
      </c>
      <c r="J261" s="101" t="s">
        <v>128</v>
      </c>
    </row>
    <row r="262" spans="1:10">
      <c r="A262" s="81" t="s">
        <v>688</v>
      </c>
      <c r="C262" s="100">
        <v>64.971111111111099</v>
      </c>
      <c r="D262" s="100">
        <v>2.7608333333333301</v>
      </c>
      <c r="E262" s="1">
        <v>79.91</v>
      </c>
      <c r="F262" s="1">
        <v>79.91</v>
      </c>
      <c r="G262" s="100" t="s">
        <v>127</v>
      </c>
      <c r="H262" s="100" t="s">
        <v>125</v>
      </c>
      <c r="I262" s="100" t="s">
        <v>126</v>
      </c>
      <c r="J262" s="101" t="s">
        <v>128</v>
      </c>
    </row>
    <row r="263" spans="1:10">
      <c r="A263" s="81" t="s">
        <v>689</v>
      </c>
      <c r="C263" s="100">
        <v>64.971111111111099</v>
      </c>
      <c r="D263" s="100">
        <v>2.7608333333333301</v>
      </c>
      <c r="E263" s="1">
        <v>80.72</v>
      </c>
      <c r="F263" s="1">
        <v>80.72</v>
      </c>
      <c r="G263" s="100" t="s">
        <v>127</v>
      </c>
      <c r="H263" s="100" t="s">
        <v>125</v>
      </c>
      <c r="I263" s="100" t="s">
        <v>126</v>
      </c>
      <c r="J263" s="101" t="s">
        <v>128</v>
      </c>
    </row>
    <row r="264" spans="1:10">
      <c r="A264" s="81" t="s">
        <v>690</v>
      </c>
      <c r="C264" s="100">
        <v>64.971111111111099</v>
      </c>
      <c r="D264" s="100">
        <v>2.7608333333333301</v>
      </c>
      <c r="E264" s="1">
        <v>81.709999999999994</v>
      </c>
      <c r="F264" s="1">
        <v>81.709999999999994</v>
      </c>
      <c r="G264" s="100" t="s">
        <v>127</v>
      </c>
      <c r="H264" s="100" t="s">
        <v>125</v>
      </c>
      <c r="I264" s="100" t="s">
        <v>126</v>
      </c>
      <c r="J264" s="101" t="s">
        <v>128</v>
      </c>
    </row>
    <row r="265" spans="1:10">
      <c r="A265" s="81" t="s">
        <v>691</v>
      </c>
      <c r="C265" s="100">
        <v>64.971111111111099</v>
      </c>
      <c r="D265" s="100">
        <v>2.7608333333333301</v>
      </c>
      <c r="E265" s="1">
        <v>82</v>
      </c>
      <c r="F265" s="1">
        <v>82</v>
      </c>
      <c r="G265" s="100" t="s">
        <v>127</v>
      </c>
      <c r="H265" s="100" t="s">
        <v>125</v>
      </c>
      <c r="I265" s="100" t="s">
        <v>126</v>
      </c>
      <c r="J265" s="101" t="s">
        <v>128</v>
      </c>
    </row>
    <row r="266" spans="1:10">
      <c r="A266" s="81" t="s">
        <v>692</v>
      </c>
      <c r="C266" s="100">
        <v>64.971111111111099</v>
      </c>
      <c r="D266" s="100">
        <v>2.7608333333333301</v>
      </c>
      <c r="E266" s="1">
        <v>84.91</v>
      </c>
      <c r="F266" s="1">
        <v>84.91</v>
      </c>
      <c r="G266" s="100" t="s">
        <v>127</v>
      </c>
      <c r="H266" s="100" t="s">
        <v>125</v>
      </c>
      <c r="I266" s="100" t="s">
        <v>126</v>
      </c>
      <c r="J266" s="101" t="s">
        <v>128</v>
      </c>
    </row>
    <row r="267" spans="1:10">
      <c r="A267" s="81" t="s">
        <v>693</v>
      </c>
      <c r="C267" s="100">
        <v>64.971111111111099</v>
      </c>
      <c r="D267" s="100">
        <v>2.7608333333333301</v>
      </c>
      <c r="E267" s="1">
        <v>85.38</v>
      </c>
      <c r="F267" s="1">
        <v>85.38</v>
      </c>
      <c r="G267" s="100" t="s">
        <v>127</v>
      </c>
      <c r="H267" s="100" t="s">
        <v>125</v>
      </c>
      <c r="I267" s="100" t="s">
        <v>126</v>
      </c>
      <c r="J267" s="101" t="s">
        <v>128</v>
      </c>
    </row>
    <row r="268" spans="1:10">
      <c r="A268" s="81" t="s">
        <v>694</v>
      </c>
      <c r="C268" s="100">
        <v>64.971111111111099</v>
      </c>
      <c r="D268" s="100">
        <v>2.7608333333333301</v>
      </c>
      <c r="E268" s="1">
        <v>86.089999999999989</v>
      </c>
      <c r="F268" s="1">
        <v>86.089999999999989</v>
      </c>
      <c r="G268" s="100" t="s">
        <v>127</v>
      </c>
      <c r="H268" s="100" t="s">
        <v>125</v>
      </c>
      <c r="I268" s="100" t="s">
        <v>126</v>
      </c>
      <c r="J268" s="101" t="s">
        <v>128</v>
      </c>
    </row>
    <row r="269" spans="1:10">
      <c r="A269" s="81" t="s">
        <v>695</v>
      </c>
      <c r="C269" s="100">
        <v>64.971111111111099</v>
      </c>
      <c r="D269" s="100">
        <v>2.7608333333333301</v>
      </c>
      <c r="E269" s="1">
        <v>87.039999999999992</v>
      </c>
      <c r="F269" s="1">
        <v>87.039999999999992</v>
      </c>
      <c r="G269" s="100" t="s">
        <v>127</v>
      </c>
      <c r="H269" s="100" t="s">
        <v>125</v>
      </c>
      <c r="I269" s="100" t="s">
        <v>126</v>
      </c>
      <c r="J269" s="101" t="s">
        <v>128</v>
      </c>
    </row>
    <row r="270" spans="1:10">
      <c r="A270" s="81" t="s">
        <v>696</v>
      </c>
      <c r="C270" s="100">
        <v>64.971111111111099</v>
      </c>
      <c r="D270" s="100">
        <v>2.7608333333333301</v>
      </c>
      <c r="E270" s="1">
        <v>88.67</v>
      </c>
      <c r="F270" s="1">
        <v>88.67</v>
      </c>
      <c r="G270" s="100" t="s">
        <v>127</v>
      </c>
      <c r="H270" s="100" t="s">
        <v>125</v>
      </c>
      <c r="I270" s="100" t="s">
        <v>126</v>
      </c>
      <c r="J270" s="101" t="s">
        <v>128</v>
      </c>
    </row>
    <row r="271" spans="1:10">
      <c r="A271" s="81" t="s">
        <v>697</v>
      </c>
      <c r="C271" s="100">
        <v>64.971111111111099</v>
      </c>
      <c r="D271" s="100">
        <v>2.7608333333333301</v>
      </c>
      <c r="E271" s="1">
        <v>89.06</v>
      </c>
      <c r="F271" s="1">
        <v>89.06</v>
      </c>
      <c r="G271" s="100" t="s">
        <v>127</v>
      </c>
      <c r="H271" s="100" t="s">
        <v>125</v>
      </c>
      <c r="I271" s="100" t="s">
        <v>126</v>
      </c>
      <c r="J271" s="101" t="s">
        <v>128</v>
      </c>
    </row>
    <row r="272" spans="1:10">
      <c r="A272" s="81" t="s">
        <v>698</v>
      </c>
      <c r="C272" s="100">
        <v>64.971111111111099</v>
      </c>
      <c r="D272" s="100">
        <v>2.7608333333333301</v>
      </c>
      <c r="E272" s="1">
        <v>89.6</v>
      </c>
      <c r="F272" s="1">
        <v>89.6</v>
      </c>
      <c r="G272" s="100" t="s">
        <v>127</v>
      </c>
      <c r="H272" s="100" t="s">
        <v>125</v>
      </c>
      <c r="I272" s="100" t="s">
        <v>126</v>
      </c>
      <c r="J272" s="101" t="s">
        <v>128</v>
      </c>
    </row>
    <row r="273" spans="1:10">
      <c r="A273" s="81" t="s">
        <v>699</v>
      </c>
      <c r="C273" s="100">
        <v>64.971111111111099</v>
      </c>
      <c r="D273" s="100">
        <v>2.7608333333333301</v>
      </c>
      <c r="E273" s="1">
        <v>90.44</v>
      </c>
      <c r="F273" s="1">
        <v>90.44</v>
      </c>
      <c r="G273" s="100" t="s">
        <v>127</v>
      </c>
      <c r="H273" s="100" t="s">
        <v>125</v>
      </c>
      <c r="I273" s="100" t="s">
        <v>126</v>
      </c>
      <c r="J273" s="101" t="s">
        <v>128</v>
      </c>
    </row>
    <row r="274" spans="1:10">
      <c r="A274" s="81" t="s">
        <v>700</v>
      </c>
      <c r="C274" s="100">
        <v>64.971111111111099</v>
      </c>
      <c r="D274" s="100">
        <v>2.7608333333333301</v>
      </c>
      <c r="E274" s="1">
        <v>91.4</v>
      </c>
      <c r="F274" s="1">
        <v>91.4</v>
      </c>
      <c r="G274" s="100" t="s">
        <v>127</v>
      </c>
      <c r="H274" s="100" t="s">
        <v>125</v>
      </c>
      <c r="I274" s="100" t="s">
        <v>126</v>
      </c>
      <c r="J274" s="101" t="s">
        <v>128</v>
      </c>
    </row>
    <row r="275" spans="1:10">
      <c r="A275" s="81" t="s">
        <v>701</v>
      </c>
      <c r="C275" s="100">
        <v>64.971111111111099</v>
      </c>
      <c r="D275" s="100">
        <v>2.7608333333333301</v>
      </c>
      <c r="E275" s="1">
        <v>93.49</v>
      </c>
      <c r="F275" s="1">
        <v>93.49</v>
      </c>
      <c r="G275" s="100" t="s">
        <v>127</v>
      </c>
      <c r="H275" s="100" t="s">
        <v>125</v>
      </c>
      <c r="I275" s="100" t="s">
        <v>126</v>
      </c>
      <c r="J275" s="101" t="s">
        <v>128</v>
      </c>
    </row>
    <row r="276" spans="1:10">
      <c r="A276" s="81" t="s">
        <v>702</v>
      </c>
      <c r="C276" s="100">
        <v>64.971111111111099</v>
      </c>
      <c r="D276" s="100">
        <v>2.7608333333333301</v>
      </c>
      <c r="E276" s="1">
        <v>93.820000000000007</v>
      </c>
      <c r="F276" s="1">
        <v>93.820000000000007</v>
      </c>
      <c r="G276" s="100" t="s">
        <v>127</v>
      </c>
      <c r="H276" s="100" t="s">
        <v>125</v>
      </c>
      <c r="I276" s="100" t="s">
        <v>126</v>
      </c>
      <c r="J276" s="101" t="s">
        <v>128</v>
      </c>
    </row>
    <row r="277" spans="1:10">
      <c r="A277" s="81" t="s">
        <v>703</v>
      </c>
      <c r="C277" s="100">
        <v>64.971111111111099</v>
      </c>
      <c r="D277" s="100">
        <v>2.7608333333333301</v>
      </c>
      <c r="E277" s="1">
        <v>94.5</v>
      </c>
      <c r="F277" s="1">
        <v>94.5</v>
      </c>
      <c r="G277" s="100" t="s">
        <v>127</v>
      </c>
      <c r="H277" s="100" t="s">
        <v>125</v>
      </c>
      <c r="I277" s="100" t="s">
        <v>126</v>
      </c>
      <c r="J277" s="101" t="s">
        <v>128</v>
      </c>
    </row>
    <row r="278" spans="1:10">
      <c r="A278" s="81" t="s">
        <v>704</v>
      </c>
      <c r="C278" s="100">
        <v>64.971111111111099</v>
      </c>
      <c r="D278" s="100">
        <v>2.7608333333333301</v>
      </c>
      <c r="E278" s="1">
        <v>94.54</v>
      </c>
      <c r="F278" s="1">
        <v>94.54</v>
      </c>
      <c r="G278" s="100" t="s">
        <v>127</v>
      </c>
      <c r="H278" s="100" t="s">
        <v>125</v>
      </c>
      <c r="I278" s="100" t="s">
        <v>126</v>
      </c>
      <c r="J278" s="101" t="s">
        <v>128</v>
      </c>
    </row>
    <row r="279" spans="1:10">
      <c r="A279" s="81" t="s">
        <v>705</v>
      </c>
      <c r="C279" s="100">
        <v>64.971111111111099</v>
      </c>
      <c r="D279" s="100">
        <v>2.7608333333333301</v>
      </c>
      <c r="E279" s="1">
        <v>95.100000000000009</v>
      </c>
      <c r="F279" s="1">
        <v>95.100000000000009</v>
      </c>
      <c r="G279" s="100" t="s">
        <v>127</v>
      </c>
      <c r="H279" s="100" t="s">
        <v>125</v>
      </c>
      <c r="I279" s="100" t="s">
        <v>126</v>
      </c>
      <c r="J279" s="101" t="s">
        <v>128</v>
      </c>
    </row>
    <row r="280" spans="1:10">
      <c r="A280" s="81" t="s">
        <v>706</v>
      </c>
      <c r="C280" s="100">
        <v>64.971111111111099</v>
      </c>
      <c r="D280" s="100">
        <v>2.7608333333333301</v>
      </c>
      <c r="E280" s="1">
        <v>96.52</v>
      </c>
      <c r="F280" s="1">
        <v>96.52</v>
      </c>
      <c r="G280" s="100" t="s">
        <v>127</v>
      </c>
      <c r="H280" s="100" t="s">
        <v>125</v>
      </c>
      <c r="I280" s="100" t="s">
        <v>126</v>
      </c>
      <c r="J280" s="101" t="s">
        <v>128</v>
      </c>
    </row>
    <row r="281" spans="1:10">
      <c r="A281" s="81" t="s">
        <v>707</v>
      </c>
      <c r="C281" s="100">
        <v>64.971111111111099</v>
      </c>
      <c r="D281" s="100">
        <v>2.7608333333333301</v>
      </c>
      <c r="E281" s="1">
        <v>97.41</v>
      </c>
      <c r="F281" s="1">
        <v>97.41</v>
      </c>
      <c r="G281" s="100" t="s">
        <v>127</v>
      </c>
      <c r="H281" s="100" t="s">
        <v>125</v>
      </c>
      <c r="I281" s="100" t="s">
        <v>126</v>
      </c>
      <c r="J281" s="101" t="s">
        <v>128</v>
      </c>
    </row>
    <row r="282" spans="1:10">
      <c r="A282" s="81" t="s">
        <v>708</v>
      </c>
      <c r="C282" s="100">
        <v>64.971111111111099</v>
      </c>
      <c r="D282" s="100">
        <v>2.7608333333333301</v>
      </c>
      <c r="E282" s="1">
        <v>98.24</v>
      </c>
      <c r="F282" s="1">
        <v>98.24</v>
      </c>
      <c r="G282" s="100" t="s">
        <v>127</v>
      </c>
      <c r="H282" s="100" t="s">
        <v>125</v>
      </c>
      <c r="I282" s="100" t="s">
        <v>126</v>
      </c>
      <c r="J282" s="101" t="s">
        <v>128</v>
      </c>
    </row>
    <row r="283" spans="1:10">
      <c r="A283" s="81" t="s">
        <v>709</v>
      </c>
      <c r="C283" s="100">
        <v>64.971111111111099</v>
      </c>
      <c r="D283" s="100">
        <v>2.7608333333333301</v>
      </c>
      <c r="E283" s="1">
        <v>98.91</v>
      </c>
      <c r="F283" s="1">
        <v>98.91</v>
      </c>
      <c r="G283" s="100" t="s">
        <v>127</v>
      </c>
      <c r="H283" s="100" t="s">
        <v>125</v>
      </c>
      <c r="I283" s="100" t="s">
        <v>126</v>
      </c>
      <c r="J283" s="101" t="s">
        <v>128</v>
      </c>
    </row>
    <row r="284" spans="1:10">
      <c r="A284" s="81" t="s">
        <v>710</v>
      </c>
      <c r="C284" s="100">
        <v>64.971111111111099</v>
      </c>
      <c r="D284" s="100">
        <v>2.7608333333333301</v>
      </c>
      <c r="E284" s="1">
        <v>100.61</v>
      </c>
      <c r="F284" s="1">
        <v>100.61</v>
      </c>
      <c r="G284" s="100" t="s">
        <v>127</v>
      </c>
      <c r="H284" s="100" t="s">
        <v>125</v>
      </c>
      <c r="I284" s="100" t="s">
        <v>126</v>
      </c>
      <c r="J284" s="101" t="s">
        <v>128</v>
      </c>
    </row>
    <row r="285" spans="1:10">
      <c r="A285" s="81" t="s">
        <v>711</v>
      </c>
      <c r="C285" s="100">
        <v>64.971111111111099</v>
      </c>
      <c r="D285" s="100">
        <v>2.7608333333333301</v>
      </c>
      <c r="E285" s="1">
        <v>101.25999999999999</v>
      </c>
      <c r="F285" s="1">
        <v>101.25999999999999</v>
      </c>
      <c r="G285" s="100" t="s">
        <v>127</v>
      </c>
      <c r="H285" s="100" t="s">
        <v>125</v>
      </c>
      <c r="I285" s="100" t="s">
        <v>126</v>
      </c>
      <c r="J285" s="101" t="s">
        <v>128</v>
      </c>
    </row>
    <row r="286" spans="1:10">
      <c r="A286" s="81" t="s">
        <v>712</v>
      </c>
      <c r="C286" s="100">
        <v>64.971111111111099</v>
      </c>
      <c r="D286" s="100">
        <v>2.7608333333333301</v>
      </c>
      <c r="E286" s="1">
        <v>99.940000000000012</v>
      </c>
      <c r="F286" s="1">
        <v>99.940000000000012</v>
      </c>
      <c r="G286" s="100" t="s">
        <v>127</v>
      </c>
      <c r="H286" s="100" t="s">
        <v>125</v>
      </c>
      <c r="I286" s="100" t="s">
        <v>126</v>
      </c>
      <c r="J286" s="101" t="s">
        <v>128</v>
      </c>
    </row>
    <row r="287" spans="1:10">
      <c r="A287" s="81" t="s">
        <v>713</v>
      </c>
      <c r="C287" s="100">
        <v>64.971111111111099</v>
      </c>
      <c r="D287" s="100">
        <v>2.7608333333333301</v>
      </c>
      <c r="E287" s="1">
        <v>103.02000000000001</v>
      </c>
      <c r="F287" s="1">
        <v>103.02000000000001</v>
      </c>
      <c r="G287" s="100" t="s">
        <v>127</v>
      </c>
      <c r="H287" s="100" t="s">
        <v>125</v>
      </c>
      <c r="I287" s="100" t="s">
        <v>126</v>
      </c>
      <c r="J287" s="101" t="s">
        <v>128</v>
      </c>
    </row>
    <row r="288" spans="1:10">
      <c r="A288" s="81" t="s">
        <v>714</v>
      </c>
      <c r="C288" s="100">
        <v>64.971111111111099</v>
      </c>
      <c r="D288" s="100">
        <v>2.7608333333333301</v>
      </c>
      <c r="E288" s="1">
        <v>102.44</v>
      </c>
      <c r="F288" s="1">
        <v>102.44</v>
      </c>
      <c r="G288" s="100" t="s">
        <v>127</v>
      </c>
      <c r="H288" s="100" t="s">
        <v>125</v>
      </c>
      <c r="I288" s="100" t="s">
        <v>126</v>
      </c>
      <c r="J288" s="101" t="s">
        <v>128</v>
      </c>
    </row>
    <row r="289" spans="1:10">
      <c r="A289" s="81" t="s">
        <v>715</v>
      </c>
      <c r="C289" s="100">
        <v>64.971111111111099</v>
      </c>
      <c r="D289" s="100">
        <v>2.7608333333333301</v>
      </c>
      <c r="E289" s="1">
        <v>104.28</v>
      </c>
      <c r="F289" s="1">
        <v>104.28</v>
      </c>
      <c r="G289" s="100" t="s">
        <v>127</v>
      </c>
      <c r="H289" s="100" t="s">
        <v>125</v>
      </c>
      <c r="I289" s="100" t="s">
        <v>126</v>
      </c>
      <c r="J289" s="101" t="s">
        <v>128</v>
      </c>
    </row>
    <row r="290" spans="1:10">
      <c r="A290" s="81" t="s">
        <v>716</v>
      </c>
      <c r="C290" s="100">
        <v>64.971111111111099</v>
      </c>
      <c r="D290" s="100">
        <v>2.7608333333333301</v>
      </c>
      <c r="E290" s="1">
        <v>105.22</v>
      </c>
      <c r="F290" s="1">
        <v>105.22</v>
      </c>
      <c r="G290" s="100" t="s">
        <v>127</v>
      </c>
      <c r="H290" s="100" t="s">
        <v>125</v>
      </c>
      <c r="I290" s="100" t="s">
        <v>126</v>
      </c>
      <c r="J290" s="101" t="s">
        <v>128</v>
      </c>
    </row>
    <row r="291" spans="1:10">
      <c r="A291" s="81" t="s">
        <v>717</v>
      </c>
      <c r="C291" s="100">
        <v>64.971111111111099</v>
      </c>
      <c r="D291" s="100">
        <v>2.7608333333333301</v>
      </c>
      <c r="E291" s="1">
        <v>105.79</v>
      </c>
      <c r="F291" s="1">
        <v>105.79</v>
      </c>
      <c r="G291" s="100" t="s">
        <v>127</v>
      </c>
      <c r="H291" s="100" t="s">
        <v>125</v>
      </c>
      <c r="I291" s="100" t="s">
        <v>126</v>
      </c>
      <c r="J291" s="101" t="s">
        <v>128</v>
      </c>
    </row>
    <row r="292" spans="1:10">
      <c r="A292" s="81" t="s">
        <v>718</v>
      </c>
      <c r="C292" s="100">
        <v>64.971111111111099</v>
      </c>
      <c r="D292" s="100">
        <v>2.7608333333333301</v>
      </c>
      <c r="E292" s="1">
        <v>106.7</v>
      </c>
      <c r="F292" s="1">
        <v>106.7</v>
      </c>
      <c r="G292" s="100" t="s">
        <v>127</v>
      </c>
      <c r="H292" s="100" t="s">
        <v>125</v>
      </c>
      <c r="I292" s="100" t="s">
        <v>126</v>
      </c>
      <c r="J292" s="101" t="s">
        <v>128</v>
      </c>
    </row>
    <row r="293" spans="1:10">
      <c r="A293" s="81" t="s">
        <v>719</v>
      </c>
      <c r="C293" s="100">
        <v>64.971111111111099</v>
      </c>
      <c r="D293" s="100">
        <v>2.7608333333333301</v>
      </c>
      <c r="E293" s="1">
        <v>106.97999999999999</v>
      </c>
      <c r="F293" s="1">
        <v>106.97999999999999</v>
      </c>
      <c r="G293" s="100" t="s">
        <v>127</v>
      </c>
      <c r="H293" s="100" t="s">
        <v>125</v>
      </c>
      <c r="I293" s="100" t="s">
        <v>126</v>
      </c>
      <c r="J293" s="101" t="s">
        <v>128</v>
      </c>
    </row>
    <row r="294" spans="1:10">
      <c r="A294" s="81" t="s">
        <v>720</v>
      </c>
      <c r="C294" s="100">
        <v>64.971111111111099</v>
      </c>
      <c r="D294" s="100">
        <v>2.7608333333333301</v>
      </c>
      <c r="E294" s="1">
        <v>107.58</v>
      </c>
      <c r="F294" s="1">
        <v>107.58</v>
      </c>
      <c r="G294" s="100" t="s">
        <v>127</v>
      </c>
      <c r="H294" s="100" t="s">
        <v>125</v>
      </c>
      <c r="I294" s="100" t="s">
        <v>126</v>
      </c>
      <c r="J294" s="101" t="s">
        <v>128</v>
      </c>
    </row>
    <row r="295" spans="1:10">
      <c r="A295" s="81" t="s">
        <v>721</v>
      </c>
      <c r="C295" s="100">
        <v>64.971111111111099</v>
      </c>
      <c r="D295" s="100">
        <v>2.7608333333333301</v>
      </c>
      <c r="E295" s="1">
        <v>109.34</v>
      </c>
      <c r="F295" s="1">
        <v>109.34</v>
      </c>
      <c r="G295" s="100" t="s">
        <v>127</v>
      </c>
      <c r="H295" s="100" t="s">
        <v>125</v>
      </c>
      <c r="I295" s="100" t="s">
        <v>126</v>
      </c>
      <c r="J295" s="101" t="s">
        <v>128</v>
      </c>
    </row>
    <row r="296" spans="1:10">
      <c r="A296" s="81" t="s">
        <v>722</v>
      </c>
      <c r="C296" s="100">
        <v>64.971111111111099</v>
      </c>
      <c r="D296" s="100">
        <v>2.7608333333333301</v>
      </c>
      <c r="E296" s="1">
        <v>110.89</v>
      </c>
      <c r="F296" s="1">
        <v>110.89</v>
      </c>
      <c r="G296" s="100" t="s">
        <v>127</v>
      </c>
      <c r="H296" s="100" t="s">
        <v>125</v>
      </c>
      <c r="I296" s="100" t="s">
        <v>126</v>
      </c>
      <c r="J296" s="101" t="s">
        <v>128</v>
      </c>
    </row>
    <row r="297" spans="1:10">
      <c r="A297" s="81" t="s">
        <v>723</v>
      </c>
      <c r="C297" s="100">
        <v>64.971111111111099</v>
      </c>
      <c r="D297" s="100">
        <v>2.7608333333333301</v>
      </c>
      <c r="E297" s="1">
        <v>112.28999999999999</v>
      </c>
      <c r="F297" s="1">
        <v>112.28999999999999</v>
      </c>
      <c r="G297" s="100" t="s">
        <v>127</v>
      </c>
      <c r="H297" s="100" t="s">
        <v>125</v>
      </c>
      <c r="I297" s="100" t="s">
        <v>126</v>
      </c>
      <c r="J297" s="101" t="s">
        <v>128</v>
      </c>
    </row>
    <row r="298" spans="1:10">
      <c r="A298" s="81" t="s">
        <v>724</v>
      </c>
      <c r="C298" s="100">
        <v>64.971111111111099</v>
      </c>
      <c r="D298" s="100">
        <v>2.7608333333333301</v>
      </c>
      <c r="E298" s="1">
        <v>112.955</v>
      </c>
      <c r="F298" s="1">
        <v>112.955</v>
      </c>
      <c r="G298" s="100" t="s">
        <v>127</v>
      </c>
      <c r="H298" s="100" t="s">
        <v>125</v>
      </c>
      <c r="I298" s="100" t="s">
        <v>126</v>
      </c>
      <c r="J298" s="101" t="s">
        <v>128</v>
      </c>
    </row>
    <row r="299" spans="1:10">
      <c r="A299" s="81" t="s">
        <v>725</v>
      </c>
      <c r="C299" s="100">
        <v>64.971111111111099</v>
      </c>
      <c r="D299" s="100">
        <v>2.7608333333333301</v>
      </c>
      <c r="E299" s="1">
        <v>114.83999999999999</v>
      </c>
      <c r="F299" s="1">
        <v>114.83999999999999</v>
      </c>
      <c r="G299" s="100" t="s">
        <v>127</v>
      </c>
      <c r="H299" s="100" t="s">
        <v>125</v>
      </c>
      <c r="I299" s="100" t="s">
        <v>126</v>
      </c>
      <c r="J299" s="101" t="s">
        <v>128</v>
      </c>
    </row>
    <row r="300" spans="1:10">
      <c r="A300" s="81" t="s">
        <v>726</v>
      </c>
      <c r="C300" s="100">
        <v>64.971111111111099</v>
      </c>
      <c r="D300" s="100">
        <v>2.7608333333333301</v>
      </c>
      <c r="E300" s="1">
        <v>115.17999999999999</v>
      </c>
      <c r="F300" s="1">
        <v>115.17999999999999</v>
      </c>
      <c r="G300" s="100" t="s">
        <v>127</v>
      </c>
      <c r="H300" s="100" t="s">
        <v>125</v>
      </c>
      <c r="I300" s="100" t="s">
        <v>126</v>
      </c>
      <c r="J300" s="101" t="s">
        <v>128</v>
      </c>
    </row>
    <row r="301" spans="1:10">
      <c r="A301" s="81" t="s">
        <v>727</v>
      </c>
      <c r="C301" s="100">
        <v>64.971111111111099</v>
      </c>
      <c r="D301" s="100">
        <v>2.7608333333333301</v>
      </c>
      <c r="E301" s="1">
        <v>115.97</v>
      </c>
      <c r="F301" s="1">
        <v>115.97</v>
      </c>
      <c r="G301" s="100" t="s">
        <v>127</v>
      </c>
      <c r="H301" s="100" t="s">
        <v>125</v>
      </c>
      <c r="I301" s="100" t="s">
        <v>126</v>
      </c>
      <c r="J301" s="101" t="s">
        <v>128</v>
      </c>
    </row>
    <row r="302" spans="1:10">
      <c r="A302" s="81" t="s">
        <v>728</v>
      </c>
      <c r="C302" s="100">
        <v>64.971111111111099</v>
      </c>
      <c r="D302" s="100">
        <v>2.7608333333333301</v>
      </c>
      <c r="E302" s="1">
        <v>117.97</v>
      </c>
      <c r="F302" s="1">
        <v>117.97</v>
      </c>
      <c r="G302" s="100" t="s">
        <v>127</v>
      </c>
      <c r="H302" s="100" t="s">
        <v>125</v>
      </c>
      <c r="I302" s="100" t="s">
        <v>126</v>
      </c>
      <c r="J302" s="101" t="s">
        <v>128</v>
      </c>
    </row>
    <row r="303" spans="1:10">
      <c r="A303" s="81" t="s">
        <v>729</v>
      </c>
      <c r="C303" s="100">
        <v>64.971111111111099</v>
      </c>
      <c r="D303" s="100">
        <v>2.7608333333333301</v>
      </c>
      <c r="E303" s="1">
        <v>119.27</v>
      </c>
      <c r="F303" s="1">
        <v>119.27</v>
      </c>
      <c r="G303" s="100" t="s">
        <v>127</v>
      </c>
      <c r="H303" s="100" t="s">
        <v>125</v>
      </c>
      <c r="I303" s="100" t="s">
        <v>126</v>
      </c>
      <c r="J303" s="101" t="s">
        <v>128</v>
      </c>
    </row>
    <row r="304" spans="1:10">
      <c r="A304" s="81" t="s">
        <v>730</v>
      </c>
      <c r="C304" s="100">
        <v>64.971111111111099</v>
      </c>
      <c r="D304" s="100">
        <v>2.7608333333333301</v>
      </c>
      <c r="E304" s="1">
        <v>123.67999999999999</v>
      </c>
      <c r="F304" s="1">
        <v>123.67999999999999</v>
      </c>
      <c r="G304" s="100" t="s">
        <v>127</v>
      </c>
      <c r="H304" s="100" t="s">
        <v>125</v>
      </c>
      <c r="I304" s="100" t="s">
        <v>126</v>
      </c>
      <c r="J304" s="101" t="s">
        <v>128</v>
      </c>
    </row>
    <row r="305" spans="1:10">
      <c r="A305" s="81" t="s">
        <v>731</v>
      </c>
      <c r="C305" s="100">
        <v>64.971111111111099</v>
      </c>
      <c r="D305" s="100">
        <v>2.7608333333333301</v>
      </c>
      <c r="E305" s="1">
        <v>125.05999999999999</v>
      </c>
      <c r="F305" s="1">
        <v>125.05999999999999</v>
      </c>
      <c r="G305" s="100" t="s">
        <v>127</v>
      </c>
      <c r="H305" s="100" t="s">
        <v>125</v>
      </c>
      <c r="I305" s="100" t="s">
        <v>126</v>
      </c>
      <c r="J305" s="101" t="s">
        <v>128</v>
      </c>
    </row>
    <row r="306" spans="1:10">
      <c r="A306" s="81" t="s">
        <v>732</v>
      </c>
      <c r="C306" s="100">
        <v>64.971111111111099</v>
      </c>
      <c r="D306" s="100">
        <v>2.7608333333333301</v>
      </c>
      <c r="E306" s="1">
        <v>125.34</v>
      </c>
      <c r="F306" s="1">
        <v>125.34</v>
      </c>
      <c r="G306" s="100" t="s">
        <v>127</v>
      </c>
      <c r="H306" s="100" t="s">
        <v>125</v>
      </c>
      <c r="I306" s="100" t="s">
        <v>126</v>
      </c>
      <c r="J306" s="101" t="s">
        <v>128</v>
      </c>
    </row>
    <row r="307" spans="1:10">
      <c r="A307" s="81" t="s">
        <v>733</v>
      </c>
      <c r="C307" s="100">
        <v>64.971111111111099</v>
      </c>
      <c r="D307" s="100">
        <v>2.7608333333333301</v>
      </c>
      <c r="E307" s="1">
        <v>130.04999999999998</v>
      </c>
      <c r="F307" s="1">
        <v>130.04999999999998</v>
      </c>
      <c r="G307" s="100" t="s">
        <v>127</v>
      </c>
      <c r="H307" s="100" t="s">
        <v>125</v>
      </c>
      <c r="I307" s="100" t="s">
        <v>126</v>
      </c>
      <c r="J307" s="101" t="s">
        <v>128</v>
      </c>
    </row>
    <row r="308" spans="1:10">
      <c r="A308" s="81" t="s">
        <v>734</v>
      </c>
      <c r="C308" s="100">
        <v>64.971111111111099</v>
      </c>
      <c r="D308" s="100">
        <v>2.7608333333333301</v>
      </c>
      <c r="E308" s="1">
        <v>131.07999999999998</v>
      </c>
      <c r="F308" s="1">
        <v>131.07999999999998</v>
      </c>
      <c r="G308" s="100" t="s">
        <v>127</v>
      </c>
      <c r="H308" s="100" t="s">
        <v>125</v>
      </c>
      <c r="I308" s="100" t="s">
        <v>126</v>
      </c>
      <c r="J308" s="101" t="s">
        <v>128</v>
      </c>
    </row>
    <row r="309" spans="1:10">
      <c r="A309" s="81" t="s">
        <v>735</v>
      </c>
      <c r="C309" s="100">
        <v>64.971111111111099</v>
      </c>
      <c r="D309" s="100">
        <v>2.7608333333333301</v>
      </c>
      <c r="E309" s="1">
        <v>131.6</v>
      </c>
      <c r="F309" s="1">
        <v>131.6</v>
      </c>
      <c r="G309" s="100" t="s">
        <v>127</v>
      </c>
      <c r="H309" s="100" t="s">
        <v>125</v>
      </c>
      <c r="I309" s="100" t="s">
        <v>126</v>
      </c>
      <c r="J309" s="101" t="s">
        <v>128</v>
      </c>
    </row>
    <row r="310" spans="1:10">
      <c r="A310" s="81" t="s">
        <v>736</v>
      </c>
      <c r="C310" s="100">
        <v>64.971111111111099</v>
      </c>
      <c r="D310" s="100">
        <v>2.7608333333333301</v>
      </c>
      <c r="E310" s="1">
        <v>134.64999999999998</v>
      </c>
      <c r="F310" s="1">
        <v>134.64999999999998</v>
      </c>
      <c r="G310" s="100" t="s">
        <v>127</v>
      </c>
      <c r="H310" s="100" t="s">
        <v>125</v>
      </c>
      <c r="I310" s="100" t="s">
        <v>126</v>
      </c>
      <c r="J310" s="101" t="s">
        <v>128</v>
      </c>
    </row>
    <row r="311" spans="1:10">
      <c r="A311" s="81" t="s">
        <v>737</v>
      </c>
      <c r="C311" s="100">
        <v>64.971111111111099</v>
      </c>
      <c r="D311" s="100">
        <v>2.7608333333333301</v>
      </c>
      <c r="E311" s="1">
        <v>134.13999999999999</v>
      </c>
      <c r="F311" s="1">
        <v>134.13999999999999</v>
      </c>
      <c r="G311" s="100" t="s">
        <v>127</v>
      </c>
      <c r="H311" s="100" t="s">
        <v>125</v>
      </c>
      <c r="I311" s="100" t="s">
        <v>126</v>
      </c>
      <c r="J311" s="101" t="s">
        <v>128</v>
      </c>
    </row>
    <row r="312" spans="1:10">
      <c r="A312" s="81" t="s">
        <v>738</v>
      </c>
      <c r="C312" s="100">
        <v>64.971111111111099</v>
      </c>
      <c r="D312" s="100">
        <v>2.7608333333333301</v>
      </c>
      <c r="E312" s="1">
        <v>135.16</v>
      </c>
      <c r="F312" s="1">
        <v>135.16</v>
      </c>
      <c r="G312" s="100" t="s">
        <v>127</v>
      </c>
      <c r="H312" s="100" t="s">
        <v>125</v>
      </c>
      <c r="I312" s="100" t="s">
        <v>126</v>
      </c>
      <c r="J312" s="101" t="s">
        <v>128</v>
      </c>
    </row>
    <row r="313" spans="1:10">
      <c r="A313" s="81" t="s">
        <v>739</v>
      </c>
      <c r="C313" s="100">
        <v>64.971111111111099</v>
      </c>
      <c r="D313" s="100">
        <v>2.7608333333333301</v>
      </c>
      <c r="E313" s="1">
        <v>136.9</v>
      </c>
      <c r="F313" s="1">
        <v>136.9</v>
      </c>
      <c r="G313" s="100" t="s">
        <v>127</v>
      </c>
      <c r="H313" s="100" t="s">
        <v>125</v>
      </c>
      <c r="I313" s="100" t="s">
        <v>126</v>
      </c>
      <c r="J313" s="101" t="s">
        <v>128</v>
      </c>
    </row>
    <row r="314" spans="1:10">
      <c r="A314" s="81" t="s">
        <v>740</v>
      </c>
      <c r="C314" s="100">
        <v>64.971111111111099</v>
      </c>
      <c r="D314" s="100">
        <v>2.7608333333333301</v>
      </c>
      <c r="E314" s="1">
        <v>138.12</v>
      </c>
      <c r="F314" s="1">
        <v>138.12</v>
      </c>
      <c r="G314" s="100" t="s">
        <v>127</v>
      </c>
      <c r="H314" s="100" t="s">
        <v>125</v>
      </c>
      <c r="I314" s="100" t="s">
        <v>126</v>
      </c>
      <c r="J314" s="101" t="s">
        <v>128</v>
      </c>
    </row>
    <row r="315" spans="1:10">
      <c r="A315" s="81" t="s">
        <v>741</v>
      </c>
      <c r="C315" s="100">
        <v>64.971111111111099</v>
      </c>
      <c r="D315" s="100">
        <v>2.7608333333333301</v>
      </c>
      <c r="E315" s="1">
        <v>139.99</v>
      </c>
      <c r="F315" s="1">
        <v>139.99</v>
      </c>
      <c r="G315" s="100" t="s">
        <v>127</v>
      </c>
      <c r="H315" s="100" t="s">
        <v>125</v>
      </c>
      <c r="I315" s="100" t="s">
        <v>126</v>
      </c>
      <c r="J315" s="101" t="s">
        <v>128</v>
      </c>
    </row>
    <row r="316" spans="1:10">
      <c r="A316" s="81" t="s">
        <v>742</v>
      </c>
      <c r="C316" s="100">
        <v>64.971111111111099</v>
      </c>
      <c r="D316" s="100">
        <v>2.7608333333333301</v>
      </c>
      <c r="E316" s="1">
        <v>141.55000000000001</v>
      </c>
      <c r="F316" s="1">
        <v>141.55000000000001</v>
      </c>
      <c r="G316" s="100" t="s">
        <v>127</v>
      </c>
      <c r="H316" s="100" t="s">
        <v>125</v>
      </c>
      <c r="I316" s="100" t="s">
        <v>126</v>
      </c>
      <c r="J316" s="101" t="s">
        <v>128</v>
      </c>
    </row>
    <row r="317" spans="1:10">
      <c r="A317" s="81" t="s">
        <v>743</v>
      </c>
      <c r="C317" s="100">
        <v>64.971111111111099</v>
      </c>
      <c r="D317" s="100">
        <v>2.7608333333333301</v>
      </c>
      <c r="E317" s="1">
        <v>141.86000000000001</v>
      </c>
      <c r="F317" s="1">
        <v>141.86000000000001</v>
      </c>
      <c r="G317" s="100" t="s">
        <v>127</v>
      </c>
      <c r="H317" s="100" t="s">
        <v>125</v>
      </c>
      <c r="I317" s="100" t="s">
        <v>126</v>
      </c>
      <c r="J317" s="101" t="s">
        <v>128</v>
      </c>
    </row>
    <row r="318" spans="1:10">
      <c r="A318" s="81" t="s">
        <v>744</v>
      </c>
      <c r="C318" s="100">
        <v>64.971111111111099</v>
      </c>
      <c r="D318" s="100">
        <v>2.7608333333333301</v>
      </c>
      <c r="E318" s="1">
        <v>129.26000000000002</v>
      </c>
      <c r="F318" s="1">
        <v>129.26000000000002</v>
      </c>
      <c r="G318" s="100" t="s">
        <v>127</v>
      </c>
      <c r="H318" s="100" t="s">
        <v>125</v>
      </c>
      <c r="I318" s="100" t="s">
        <v>126</v>
      </c>
      <c r="J318" s="101" t="s">
        <v>128</v>
      </c>
    </row>
    <row r="319" spans="1:10">
      <c r="A319" s="81" t="s">
        <v>745</v>
      </c>
      <c r="C319" s="100">
        <v>64.971111111111099</v>
      </c>
      <c r="D319" s="100">
        <v>2.7608333333333301</v>
      </c>
      <c r="E319" s="1">
        <v>142.35</v>
      </c>
      <c r="F319" s="1">
        <v>142.35</v>
      </c>
      <c r="G319" s="100" t="s">
        <v>127</v>
      </c>
      <c r="H319" s="100" t="s">
        <v>125</v>
      </c>
      <c r="I319" s="100" t="s">
        <v>126</v>
      </c>
      <c r="J319" s="101" t="s">
        <v>128</v>
      </c>
    </row>
    <row r="320" spans="1:10">
      <c r="A320" s="81" t="s">
        <v>746</v>
      </c>
      <c r="C320" s="100">
        <v>64.971111111111099</v>
      </c>
      <c r="D320" s="100">
        <v>2.7608333333333301</v>
      </c>
      <c r="E320" s="1">
        <v>142.95000000000002</v>
      </c>
      <c r="F320" s="1">
        <v>142.95000000000002</v>
      </c>
      <c r="G320" s="100" t="s">
        <v>127</v>
      </c>
      <c r="H320" s="100" t="s">
        <v>125</v>
      </c>
      <c r="I320" s="100" t="s">
        <v>126</v>
      </c>
      <c r="J320" s="101" t="s">
        <v>128</v>
      </c>
    </row>
    <row r="321" spans="1:10">
      <c r="A321" s="81" t="s">
        <v>747</v>
      </c>
      <c r="C321" s="100">
        <v>64.971111111111099</v>
      </c>
      <c r="D321" s="100">
        <v>2.7608333333333301</v>
      </c>
      <c r="E321" s="1">
        <v>143.71</v>
      </c>
      <c r="F321" s="1">
        <v>143.71</v>
      </c>
      <c r="G321" s="100" t="s">
        <v>127</v>
      </c>
      <c r="H321" s="100" t="s">
        <v>125</v>
      </c>
      <c r="I321" s="100" t="s">
        <v>126</v>
      </c>
      <c r="J321" s="101" t="s">
        <v>128</v>
      </c>
    </row>
    <row r="322" spans="1:10">
      <c r="A322" s="81" t="s">
        <v>748</v>
      </c>
      <c r="C322" s="100">
        <v>64.971111111111099</v>
      </c>
      <c r="D322" s="100">
        <v>2.7608333333333301</v>
      </c>
      <c r="E322" s="1">
        <v>145.03</v>
      </c>
      <c r="F322" s="1">
        <v>145.03</v>
      </c>
      <c r="G322" s="100" t="s">
        <v>127</v>
      </c>
      <c r="H322" s="100" t="s">
        <v>125</v>
      </c>
      <c r="I322" s="100" t="s">
        <v>126</v>
      </c>
      <c r="J322" s="101" t="s">
        <v>128</v>
      </c>
    </row>
    <row r="323" spans="1:10">
      <c r="A323" s="81" t="s">
        <v>749</v>
      </c>
      <c r="C323" s="100">
        <v>64.971111111111099</v>
      </c>
      <c r="D323" s="100">
        <v>2.7608333333333301</v>
      </c>
      <c r="E323" s="1">
        <v>146.37</v>
      </c>
      <c r="F323" s="1">
        <v>146.37</v>
      </c>
      <c r="G323" s="100" t="s">
        <v>127</v>
      </c>
      <c r="H323" s="100" t="s">
        <v>125</v>
      </c>
      <c r="I323" s="100" t="s">
        <v>126</v>
      </c>
      <c r="J323" s="101" t="s">
        <v>128</v>
      </c>
    </row>
    <row r="324" spans="1:10">
      <c r="A324" s="81" t="s">
        <v>750</v>
      </c>
      <c r="C324" s="100">
        <v>64.971111111111099</v>
      </c>
      <c r="D324" s="100">
        <v>2.7608333333333301</v>
      </c>
      <c r="E324" s="1">
        <v>147.54</v>
      </c>
      <c r="F324" s="1">
        <v>147.54</v>
      </c>
      <c r="G324" s="100" t="s">
        <v>127</v>
      </c>
      <c r="H324" s="100" t="s">
        <v>125</v>
      </c>
      <c r="I324" s="100" t="s">
        <v>126</v>
      </c>
      <c r="J324" s="101" t="s">
        <v>128</v>
      </c>
    </row>
    <row r="325" spans="1:10">
      <c r="A325" s="81" t="s">
        <v>751</v>
      </c>
      <c r="C325" s="100">
        <v>64.971111111111099</v>
      </c>
      <c r="D325" s="100">
        <v>2.7608333333333301</v>
      </c>
      <c r="E325" s="1">
        <v>162.33000000000001</v>
      </c>
      <c r="F325" s="1">
        <v>162.33000000000001</v>
      </c>
      <c r="G325" s="100" t="s">
        <v>127</v>
      </c>
      <c r="H325" s="100" t="s">
        <v>125</v>
      </c>
      <c r="I325" s="100" t="s">
        <v>126</v>
      </c>
      <c r="J325" s="101" t="s">
        <v>128</v>
      </c>
    </row>
    <row r="326" spans="1:10">
      <c r="A326" s="81" t="s">
        <v>752</v>
      </c>
      <c r="C326" s="100">
        <v>64.971111111111099</v>
      </c>
      <c r="D326" s="100">
        <v>2.7608333333333301</v>
      </c>
      <c r="E326" s="1">
        <v>147.72</v>
      </c>
      <c r="F326" s="1">
        <v>147.72</v>
      </c>
      <c r="G326" s="100" t="s">
        <v>127</v>
      </c>
      <c r="H326" s="100" t="s">
        <v>125</v>
      </c>
      <c r="I326" s="100" t="s">
        <v>126</v>
      </c>
      <c r="J326" s="101" t="s">
        <v>128</v>
      </c>
    </row>
    <row r="327" spans="1:10">
      <c r="A327" s="81" t="s">
        <v>753</v>
      </c>
      <c r="C327" s="100">
        <v>64.971111111111099</v>
      </c>
      <c r="D327" s="100">
        <v>2.7608333333333301</v>
      </c>
      <c r="E327" s="1">
        <v>130.21</v>
      </c>
      <c r="F327" s="1">
        <v>130.21</v>
      </c>
      <c r="G327" s="100" t="s">
        <v>127</v>
      </c>
      <c r="H327" s="100" t="s">
        <v>125</v>
      </c>
      <c r="I327" s="100" t="s">
        <v>126</v>
      </c>
      <c r="J327" s="101" t="s">
        <v>128</v>
      </c>
    </row>
    <row r="328" spans="1:10">
      <c r="A328" s="81" t="s">
        <v>754</v>
      </c>
      <c r="C328" s="100">
        <v>64.971111111111099</v>
      </c>
      <c r="D328" s="100">
        <v>2.7608333333333301</v>
      </c>
      <c r="E328" s="1">
        <v>133.56</v>
      </c>
      <c r="F328" s="1">
        <v>133.56</v>
      </c>
      <c r="G328" s="100" t="s">
        <v>127</v>
      </c>
      <c r="H328" s="100" t="s">
        <v>125</v>
      </c>
      <c r="I328" s="100" t="s">
        <v>126</v>
      </c>
      <c r="J328" s="101" t="s">
        <v>128</v>
      </c>
    </row>
    <row r="329" spans="1:10">
      <c r="A329" s="81" t="s">
        <v>755</v>
      </c>
      <c r="C329" s="100">
        <v>64.971111111111099</v>
      </c>
      <c r="D329" s="100">
        <v>2.7608333333333301</v>
      </c>
      <c r="E329" s="1">
        <v>136.07999999999998</v>
      </c>
      <c r="F329" s="1">
        <v>136.07999999999998</v>
      </c>
      <c r="G329" s="100" t="s">
        <v>127</v>
      </c>
      <c r="H329" s="100" t="s">
        <v>125</v>
      </c>
      <c r="I329" s="100" t="s">
        <v>126</v>
      </c>
      <c r="J329" s="101" t="s">
        <v>128</v>
      </c>
    </row>
    <row r="330" spans="1:10">
      <c r="A330" s="81" t="s">
        <v>756</v>
      </c>
      <c r="C330" s="100">
        <v>64.971111111111099</v>
      </c>
      <c r="D330" s="100">
        <v>2.7608333333333301</v>
      </c>
      <c r="E330" s="1">
        <v>144.16000000000003</v>
      </c>
      <c r="F330" s="1">
        <v>144.16000000000003</v>
      </c>
      <c r="G330" s="100" t="s">
        <v>127</v>
      </c>
      <c r="H330" s="100" t="s">
        <v>125</v>
      </c>
      <c r="I330" s="100" t="s">
        <v>126</v>
      </c>
      <c r="J330" s="101" t="s">
        <v>128</v>
      </c>
    </row>
    <row r="331" spans="1:10">
      <c r="A331" s="81" t="s">
        <v>757</v>
      </c>
      <c r="C331" s="100">
        <v>64.971111111111099</v>
      </c>
      <c r="D331" s="100">
        <v>2.7608333333333301</v>
      </c>
      <c r="E331" s="1">
        <v>148.74</v>
      </c>
      <c r="F331" s="1">
        <v>148.74</v>
      </c>
      <c r="G331" s="100" t="s">
        <v>127</v>
      </c>
      <c r="H331" s="100" t="s">
        <v>125</v>
      </c>
      <c r="I331" s="100" t="s">
        <v>126</v>
      </c>
      <c r="J331" s="101" t="s">
        <v>128</v>
      </c>
    </row>
    <row r="332" spans="1:10">
      <c r="A332" s="81" t="s">
        <v>758</v>
      </c>
      <c r="C332" s="100">
        <v>64.971111111111099</v>
      </c>
      <c r="D332" s="100">
        <v>2.7608333333333301</v>
      </c>
      <c r="E332" s="1">
        <v>148.86000000000001</v>
      </c>
      <c r="F332" s="1">
        <v>148.86000000000001</v>
      </c>
      <c r="G332" s="100" t="s">
        <v>127</v>
      </c>
      <c r="H332" s="100" t="s">
        <v>125</v>
      </c>
      <c r="I332" s="100" t="s">
        <v>126</v>
      </c>
      <c r="J332" s="101" t="s">
        <v>128</v>
      </c>
    </row>
    <row r="333" spans="1:10">
      <c r="A333" s="81" t="s">
        <v>758</v>
      </c>
      <c r="C333" s="100">
        <v>64.971111111111099</v>
      </c>
      <c r="D333" s="100">
        <v>2.7608333333333301</v>
      </c>
      <c r="E333" s="1">
        <v>148.86000000000001</v>
      </c>
      <c r="F333" s="1">
        <v>148.86000000000001</v>
      </c>
      <c r="G333" s="100" t="s">
        <v>127</v>
      </c>
      <c r="H333" s="100" t="s">
        <v>125</v>
      </c>
      <c r="I333" s="100" t="s">
        <v>126</v>
      </c>
      <c r="J333" s="101" t="s">
        <v>128</v>
      </c>
    </row>
    <row r="334" spans="1:10">
      <c r="A334" s="81" t="s">
        <v>759</v>
      </c>
      <c r="C334" s="100">
        <v>64.971111111111099</v>
      </c>
      <c r="D334" s="100">
        <v>2.7608333333333301</v>
      </c>
      <c r="E334" s="1">
        <v>153.13</v>
      </c>
      <c r="F334" s="1">
        <v>153.13</v>
      </c>
      <c r="G334" s="100" t="s">
        <v>127</v>
      </c>
      <c r="H334" s="100" t="s">
        <v>125</v>
      </c>
      <c r="I334" s="100" t="s">
        <v>126</v>
      </c>
      <c r="J334" s="101" t="s">
        <v>128</v>
      </c>
    </row>
    <row r="335" spans="1:10">
      <c r="A335" s="81" t="s">
        <v>760</v>
      </c>
      <c r="C335" s="100">
        <v>64.971111111111099</v>
      </c>
      <c r="D335" s="100">
        <v>2.7608333333333301</v>
      </c>
      <c r="E335" s="1">
        <v>158.49</v>
      </c>
      <c r="F335" s="1">
        <v>158.49</v>
      </c>
      <c r="G335" s="100" t="s">
        <v>127</v>
      </c>
      <c r="H335" s="100" t="s">
        <v>125</v>
      </c>
      <c r="I335" s="100" t="s">
        <v>126</v>
      </c>
      <c r="J335" s="101" t="s">
        <v>128</v>
      </c>
    </row>
    <row r="336" spans="1:10">
      <c r="A336" s="81" t="s">
        <v>761</v>
      </c>
      <c r="C336" s="100">
        <v>64.971111111111099</v>
      </c>
      <c r="D336" s="100">
        <v>2.7608333333333301</v>
      </c>
      <c r="E336" s="1">
        <v>162.63000000000002</v>
      </c>
      <c r="F336" s="1">
        <v>162.63000000000002</v>
      </c>
      <c r="G336" s="100" t="s">
        <v>127</v>
      </c>
      <c r="H336" s="100" t="s">
        <v>125</v>
      </c>
      <c r="I336" s="100" t="s">
        <v>126</v>
      </c>
      <c r="J336" s="101" t="s">
        <v>128</v>
      </c>
    </row>
    <row r="337" spans="1:10">
      <c r="A337" s="81" t="s">
        <v>762</v>
      </c>
      <c r="C337" s="100">
        <v>64.971111111111099</v>
      </c>
      <c r="D337" s="100">
        <v>2.7608333333333301</v>
      </c>
      <c r="E337" s="1">
        <v>166.155</v>
      </c>
      <c r="F337" s="1">
        <v>166.155</v>
      </c>
      <c r="G337" s="100" t="s">
        <v>127</v>
      </c>
      <c r="H337" s="100" t="s">
        <v>125</v>
      </c>
      <c r="I337" s="100" t="s">
        <v>126</v>
      </c>
      <c r="J337" s="101" t="s">
        <v>128</v>
      </c>
    </row>
    <row r="338" spans="1:10">
      <c r="A338" s="81" t="s">
        <v>876</v>
      </c>
      <c r="C338" s="100">
        <v>67.311111111111117</v>
      </c>
      <c r="D338" s="100">
        <v>3.7405555555555554</v>
      </c>
      <c r="E338" s="1">
        <v>126.81</v>
      </c>
      <c r="F338" s="1">
        <v>126.81</v>
      </c>
      <c r="G338" s="100" t="s">
        <v>127</v>
      </c>
      <c r="H338" s="1" t="s">
        <v>325</v>
      </c>
      <c r="I338" s="100" t="s">
        <v>126</v>
      </c>
      <c r="J338" s="101" t="s">
        <v>128</v>
      </c>
    </row>
    <row r="339" spans="1:10">
      <c r="A339" s="81" t="s">
        <v>877</v>
      </c>
      <c r="C339" s="100">
        <v>67.311111111111117</v>
      </c>
      <c r="D339" s="100">
        <v>3.7405555555555554</v>
      </c>
      <c r="E339" s="1">
        <v>141.43</v>
      </c>
      <c r="F339" s="1">
        <v>141.43</v>
      </c>
      <c r="G339" s="100" t="s">
        <v>127</v>
      </c>
      <c r="H339" s="1" t="s">
        <v>325</v>
      </c>
      <c r="I339" s="100" t="s">
        <v>126</v>
      </c>
      <c r="J339" s="101" t="s">
        <v>128</v>
      </c>
    </row>
    <row r="340" spans="1:10">
      <c r="A340" s="81" t="s">
        <v>878</v>
      </c>
      <c r="C340" s="100">
        <v>67.311111111111117</v>
      </c>
      <c r="D340" s="100">
        <v>3.7405555555555554</v>
      </c>
      <c r="E340" s="1">
        <v>141.43</v>
      </c>
      <c r="F340" s="1">
        <v>141.43</v>
      </c>
      <c r="G340" s="100" t="s">
        <v>127</v>
      </c>
      <c r="H340" s="1" t="s">
        <v>325</v>
      </c>
      <c r="I340" s="100" t="s">
        <v>126</v>
      </c>
      <c r="J340" s="101" t="s">
        <v>128</v>
      </c>
    </row>
    <row r="341" spans="1:10">
      <c r="A341" s="81" t="s">
        <v>879</v>
      </c>
      <c r="C341" s="100">
        <v>67.311111111111117</v>
      </c>
      <c r="D341" s="100">
        <v>3.7405555555555554</v>
      </c>
      <c r="E341" s="1">
        <v>142.93</v>
      </c>
      <c r="F341" s="1">
        <v>142.93</v>
      </c>
      <c r="G341" s="100" t="s">
        <v>127</v>
      </c>
      <c r="H341" s="1" t="s">
        <v>325</v>
      </c>
      <c r="I341" s="100" t="s">
        <v>126</v>
      </c>
      <c r="J341" s="101" t="s">
        <v>128</v>
      </c>
    </row>
    <row r="342" spans="1:10">
      <c r="A342" s="81" t="s">
        <v>880</v>
      </c>
      <c r="C342" s="100">
        <v>67.311111111111117</v>
      </c>
      <c r="D342" s="100">
        <v>3.7405555555555554</v>
      </c>
      <c r="E342" s="1">
        <v>142.93</v>
      </c>
      <c r="F342" s="1">
        <v>142.93</v>
      </c>
      <c r="G342" s="100" t="s">
        <v>127</v>
      </c>
      <c r="H342" s="1" t="s">
        <v>325</v>
      </c>
      <c r="I342" s="100" t="s">
        <v>126</v>
      </c>
      <c r="J342" s="101" t="s">
        <v>128</v>
      </c>
    </row>
    <row r="343" spans="1:10">
      <c r="A343" s="81" t="s">
        <v>881</v>
      </c>
      <c r="C343" s="100">
        <v>67.311111111111117</v>
      </c>
      <c r="D343" s="100">
        <v>3.7405555555555554</v>
      </c>
      <c r="E343" s="1">
        <v>145.4</v>
      </c>
      <c r="F343" s="1">
        <v>145.4</v>
      </c>
      <c r="G343" s="100" t="s">
        <v>127</v>
      </c>
      <c r="H343" s="1" t="s">
        <v>325</v>
      </c>
      <c r="I343" s="100" t="s">
        <v>126</v>
      </c>
      <c r="J343" s="101" t="s">
        <v>128</v>
      </c>
    </row>
    <row r="344" spans="1:10">
      <c r="A344" s="81" t="s">
        <v>882</v>
      </c>
      <c r="C344" s="100">
        <v>67.311111111111117</v>
      </c>
      <c r="D344" s="100">
        <v>3.7405555555555554</v>
      </c>
      <c r="E344" s="1">
        <v>145.4</v>
      </c>
      <c r="F344" s="1">
        <v>145.4</v>
      </c>
      <c r="G344" s="100" t="s">
        <v>127</v>
      </c>
      <c r="H344" s="1" t="s">
        <v>325</v>
      </c>
      <c r="I344" s="100" t="s">
        <v>126</v>
      </c>
      <c r="J344" s="101" t="s">
        <v>128</v>
      </c>
    </row>
    <row r="345" spans="1:10">
      <c r="A345" s="81" t="s">
        <v>883</v>
      </c>
      <c r="C345" s="100">
        <v>67.311111111111117</v>
      </c>
      <c r="D345" s="100">
        <v>3.7405555555555554</v>
      </c>
      <c r="E345" s="1">
        <v>145.4</v>
      </c>
      <c r="F345" s="1">
        <v>145.4</v>
      </c>
      <c r="G345" s="100" t="s">
        <v>127</v>
      </c>
      <c r="H345" s="1" t="s">
        <v>325</v>
      </c>
      <c r="I345" s="100" t="s">
        <v>126</v>
      </c>
      <c r="J345" s="101" t="s">
        <v>128</v>
      </c>
    </row>
    <row r="346" spans="1:10">
      <c r="A346" s="81" t="s">
        <v>884</v>
      </c>
      <c r="C346" s="100">
        <v>67.311111111111117</v>
      </c>
      <c r="D346" s="100">
        <v>3.7405555555555554</v>
      </c>
      <c r="E346" s="1">
        <v>153.9</v>
      </c>
      <c r="F346" s="1">
        <v>153.9</v>
      </c>
      <c r="G346" s="100" t="s">
        <v>127</v>
      </c>
      <c r="H346" s="1" t="s">
        <v>325</v>
      </c>
      <c r="I346" s="100" t="s">
        <v>126</v>
      </c>
      <c r="J346" s="101" t="s">
        <v>128</v>
      </c>
    </row>
    <row r="347" spans="1:10">
      <c r="A347" s="81" t="s">
        <v>885</v>
      </c>
      <c r="C347" s="100">
        <v>67.311111111111117</v>
      </c>
      <c r="D347" s="100">
        <v>3.7405555555555554</v>
      </c>
      <c r="E347" s="1">
        <v>154</v>
      </c>
      <c r="F347" s="1">
        <v>154</v>
      </c>
      <c r="G347" s="100" t="s">
        <v>127</v>
      </c>
      <c r="H347" s="1" t="s">
        <v>325</v>
      </c>
      <c r="I347" s="100" t="s">
        <v>126</v>
      </c>
      <c r="J347" s="101" t="s">
        <v>128</v>
      </c>
    </row>
    <row r="348" spans="1:10">
      <c r="A348" s="81" t="s">
        <v>886</v>
      </c>
      <c r="C348" s="100">
        <v>67.311111111111117</v>
      </c>
      <c r="D348" s="100">
        <v>3.7405555555555554</v>
      </c>
      <c r="E348" s="1">
        <v>154</v>
      </c>
      <c r="F348" s="1">
        <v>154</v>
      </c>
      <c r="G348" s="100" t="s">
        <v>127</v>
      </c>
      <c r="H348" s="1" t="s">
        <v>325</v>
      </c>
      <c r="I348" s="100" t="s">
        <v>126</v>
      </c>
      <c r="J348" s="101" t="s">
        <v>128</v>
      </c>
    </row>
    <row r="349" spans="1:10">
      <c r="A349" s="81" t="s">
        <v>887</v>
      </c>
      <c r="C349" s="100">
        <v>67.311111111111117</v>
      </c>
      <c r="D349" s="100">
        <v>3.7405555555555554</v>
      </c>
      <c r="E349" s="1">
        <v>155.22999999999999</v>
      </c>
      <c r="F349" s="1">
        <v>155.22999999999999</v>
      </c>
      <c r="G349" s="100" t="s">
        <v>127</v>
      </c>
      <c r="H349" s="1" t="s">
        <v>325</v>
      </c>
      <c r="I349" s="100" t="s">
        <v>126</v>
      </c>
      <c r="J349" s="101" t="s">
        <v>128</v>
      </c>
    </row>
    <row r="350" spans="1:10">
      <c r="A350" s="81" t="s">
        <v>888</v>
      </c>
      <c r="C350" s="100">
        <v>67.311111111111117</v>
      </c>
      <c r="D350" s="100">
        <v>3.7405555555555554</v>
      </c>
      <c r="E350" s="1">
        <v>155.22999999999999</v>
      </c>
      <c r="F350" s="1">
        <v>155.22999999999999</v>
      </c>
      <c r="G350" s="100" t="s">
        <v>127</v>
      </c>
      <c r="H350" s="1" t="s">
        <v>325</v>
      </c>
      <c r="I350" s="100" t="s">
        <v>126</v>
      </c>
      <c r="J350" s="101" t="s">
        <v>128</v>
      </c>
    </row>
    <row r="351" spans="1:10">
      <c r="A351" s="81" t="s">
        <v>889</v>
      </c>
      <c r="C351" s="100">
        <v>67.311111111111117</v>
      </c>
      <c r="D351" s="100">
        <v>3.7405555555555554</v>
      </c>
      <c r="E351" s="1">
        <v>160</v>
      </c>
      <c r="F351" s="1">
        <v>160</v>
      </c>
      <c r="G351" s="100" t="s">
        <v>127</v>
      </c>
      <c r="H351" s="1" t="s">
        <v>325</v>
      </c>
      <c r="I351" s="100" t="s">
        <v>126</v>
      </c>
      <c r="J351" s="101" t="s">
        <v>128</v>
      </c>
    </row>
    <row r="352" spans="1:10">
      <c r="A352" s="81" t="s">
        <v>890</v>
      </c>
      <c r="C352" s="100">
        <v>67.311111111111117</v>
      </c>
      <c r="D352" s="100">
        <v>3.7405555555555554</v>
      </c>
      <c r="E352" s="1">
        <v>160</v>
      </c>
      <c r="F352" s="1">
        <v>160</v>
      </c>
      <c r="G352" s="100" t="s">
        <v>127</v>
      </c>
      <c r="H352" s="1" t="s">
        <v>325</v>
      </c>
      <c r="I352" s="100" t="s">
        <v>126</v>
      </c>
      <c r="J352" s="101" t="s">
        <v>128</v>
      </c>
    </row>
    <row r="353" spans="1:10">
      <c r="A353" s="81" t="s">
        <v>891</v>
      </c>
      <c r="C353" s="100">
        <v>67.311111111111117</v>
      </c>
      <c r="D353" s="100">
        <v>3.7405555555555554</v>
      </c>
      <c r="E353" s="1">
        <v>160</v>
      </c>
      <c r="F353" s="1">
        <v>160</v>
      </c>
      <c r="G353" s="100" t="s">
        <v>127</v>
      </c>
      <c r="H353" s="1" t="s">
        <v>325</v>
      </c>
      <c r="I353" s="100" t="s">
        <v>126</v>
      </c>
      <c r="J353" s="101" t="s">
        <v>128</v>
      </c>
    </row>
    <row r="354" spans="1:10">
      <c r="A354" s="81" t="s">
        <v>892</v>
      </c>
      <c r="C354" s="100">
        <v>67.311111111111117</v>
      </c>
      <c r="D354" s="100">
        <v>3.7405555555555554</v>
      </c>
      <c r="E354" s="1">
        <v>161.88999999999999</v>
      </c>
      <c r="F354" s="1">
        <v>161.88999999999999</v>
      </c>
      <c r="G354" s="100" t="s">
        <v>127</v>
      </c>
      <c r="H354" s="1" t="s">
        <v>325</v>
      </c>
      <c r="I354" s="100" t="s">
        <v>126</v>
      </c>
      <c r="J354" s="101" t="s">
        <v>128</v>
      </c>
    </row>
    <row r="355" spans="1:10">
      <c r="A355" s="81" t="s">
        <v>893</v>
      </c>
      <c r="C355" s="100">
        <v>67.311111111111117</v>
      </c>
      <c r="D355" s="100">
        <v>3.7405555555555554</v>
      </c>
      <c r="E355" s="1">
        <v>164.9</v>
      </c>
      <c r="F355" s="1">
        <v>164.9</v>
      </c>
      <c r="G355" s="100" t="s">
        <v>127</v>
      </c>
      <c r="H355" s="1" t="s">
        <v>325</v>
      </c>
      <c r="I355" s="100" t="s">
        <v>126</v>
      </c>
      <c r="J355" s="101" t="s">
        <v>128</v>
      </c>
    </row>
    <row r="356" spans="1:10">
      <c r="A356" s="81" t="s">
        <v>894</v>
      </c>
      <c r="C356" s="100">
        <v>67.311111111111117</v>
      </c>
      <c r="D356" s="100">
        <v>3.7405555555555554</v>
      </c>
      <c r="E356" s="1">
        <v>164.9</v>
      </c>
      <c r="F356" s="1">
        <v>164.9</v>
      </c>
      <c r="G356" s="100" t="s">
        <v>127</v>
      </c>
      <c r="H356" s="1" t="s">
        <v>325</v>
      </c>
      <c r="I356" s="100" t="s">
        <v>126</v>
      </c>
      <c r="J356" s="101" t="s">
        <v>128</v>
      </c>
    </row>
    <row r="357" spans="1:10">
      <c r="A357" s="81" t="s">
        <v>895</v>
      </c>
      <c r="C357" s="100">
        <v>67.311111111111117</v>
      </c>
      <c r="D357" s="100">
        <v>3.7405555555555554</v>
      </c>
      <c r="E357" s="1">
        <v>166.39</v>
      </c>
      <c r="F357" s="1">
        <v>166.39</v>
      </c>
      <c r="G357" s="100" t="s">
        <v>127</v>
      </c>
      <c r="H357" s="1" t="s">
        <v>325</v>
      </c>
      <c r="I357" s="100" t="s">
        <v>126</v>
      </c>
      <c r="J357" s="101" t="s">
        <v>128</v>
      </c>
    </row>
    <row r="358" spans="1:10">
      <c r="A358" s="81" t="s">
        <v>896</v>
      </c>
      <c r="C358" s="100">
        <v>67.311111111111117</v>
      </c>
      <c r="D358" s="100">
        <v>3.7405555555555554</v>
      </c>
      <c r="E358" s="1">
        <v>166.39</v>
      </c>
      <c r="F358" s="1">
        <v>166.39</v>
      </c>
      <c r="G358" s="100" t="s">
        <v>127</v>
      </c>
      <c r="H358" s="1" t="s">
        <v>325</v>
      </c>
      <c r="I358" s="100" t="s">
        <v>126</v>
      </c>
      <c r="J358" s="101" t="s">
        <v>128</v>
      </c>
    </row>
    <row r="359" spans="1:10">
      <c r="A359" s="81" t="s">
        <v>897</v>
      </c>
      <c r="C359" s="100">
        <v>67.311111111111117</v>
      </c>
      <c r="D359" s="100">
        <v>3.7405555555555554</v>
      </c>
      <c r="E359" s="1">
        <v>208.1</v>
      </c>
      <c r="F359" s="1">
        <v>208.1</v>
      </c>
      <c r="G359" s="100" t="s">
        <v>127</v>
      </c>
      <c r="H359" s="1" t="s">
        <v>325</v>
      </c>
      <c r="I359" s="100" t="s">
        <v>126</v>
      </c>
      <c r="J359" s="101" t="s">
        <v>128</v>
      </c>
    </row>
    <row r="360" spans="1:10">
      <c r="A360" s="81" t="s">
        <v>898</v>
      </c>
      <c r="C360" s="100">
        <v>67.311111111111117</v>
      </c>
      <c r="D360" s="100">
        <v>3.7405555555555554</v>
      </c>
      <c r="E360" s="1">
        <v>167.89</v>
      </c>
      <c r="F360" s="1">
        <v>167.89</v>
      </c>
      <c r="G360" s="100" t="s">
        <v>127</v>
      </c>
      <c r="H360" s="1" t="s">
        <v>325</v>
      </c>
      <c r="I360" s="100" t="s">
        <v>126</v>
      </c>
      <c r="J360" s="101" t="s">
        <v>128</v>
      </c>
    </row>
    <row r="361" spans="1:10">
      <c r="A361" s="81" t="s">
        <v>899</v>
      </c>
      <c r="C361" s="100">
        <v>67.311111111111117</v>
      </c>
      <c r="D361" s="100">
        <v>3.7405555555555554</v>
      </c>
      <c r="E361" s="1">
        <v>167.89</v>
      </c>
      <c r="F361" s="1">
        <v>167.89</v>
      </c>
      <c r="G361" s="100" t="s">
        <v>127</v>
      </c>
      <c r="H361" s="1" t="s">
        <v>325</v>
      </c>
      <c r="I361" s="100" t="s">
        <v>126</v>
      </c>
      <c r="J361" s="101" t="s">
        <v>128</v>
      </c>
    </row>
    <row r="362" spans="1:10">
      <c r="A362" s="81" t="s">
        <v>900</v>
      </c>
      <c r="C362" s="100">
        <v>67.311111111111117</v>
      </c>
      <c r="D362" s="100">
        <v>3.7405555555555554</v>
      </c>
      <c r="E362" s="1">
        <v>167.89</v>
      </c>
      <c r="F362" s="1">
        <v>167.89</v>
      </c>
      <c r="G362" s="100" t="s">
        <v>127</v>
      </c>
      <c r="H362" s="1" t="s">
        <v>325</v>
      </c>
      <c r="I362" s="100" t="s">
        <v>126</v>
      </c>
      <c r="J362" s="101" t="s">
        <v>128</v>
      </c>
    </row>
    <row r="363" spans="1:10">
      <c r="A363" s="81" t="s">
        <v>901</v>
      </c>
      <c r="C363" s="100">
        <v>67.311111111111117</v>
      </c>
      <c r="D363" s="100">
        <v>3.7405555555555554</v>
      </c>
      <c r="E363" s="1">
        <v>169.8</v>
      </c>
      <c r="F363" s="1">
        <v>169.8</v>
      </c>
      <c r="G363" s="100" t="s">
        <v>127</v>
      </c>
      <c r="H363" s="1" t="s">
        <v>325</v>
      </c>
      <c r="I363" s="100" t="s">
        <v>126</v>
      </c>
      <c r="J363" s="101" t="s">
        <v>128</v>
      </c>
    </row>
    <row r="364" spans="1:10">
      <c r="A364" s="81" t="s">
        <v>902</v>
      </c>
      <c r="C364" s="100">
        <v>67.311111111111117</v>
      </c>
      <c r="D364" s="100">
        <v>3.7405555555555554</v>
      </c>
      <c r="E364" s="1">
        <v>171.16</v>
      </c>
      <c r="F364" s="1">
        <v>171.16</v>
      </c>
      <c r="G364" s="100" t="s">
        <v>127</v>
      </c>
      <c r="H364" s="1" t="s">
        <v>325</v>
      </c>
      <c r="I364" s="100" t="s">
        <v>126</v>
      </c>
      <c r="J364" s="101" t="s">
        <v>128</v>
      </c>
    </row>
    <row r="365" spans="1:10">
      <c r="A365" s="81" t="s">
        <v>903</v>
      </c>
      <c r="C365" s="100">
        <v>67.311111111111117</v>
      </c>
      <c r="D365" s="100">
        <v>3.7405555555555554</v>
      </c>
      <c r="E365" s="1">
        <v>171.16</v>
      </c>
      <c r="F365" s="1">
        <v>171.16</v>
      </c>
      <c r="G365" s="100" t="s">
        <v>127</v>
      </c>
      <c r="H365" s="1" t="s">
        <v>325</v>
      </c>
      <c r="I365" s="100" t="s">
        <v>126</v>
      </c>
      <c r="J365" s="101" t="s">
        <v>128</v>
      </c>
    </row>
    <row r="366" spans="1:10">
      <c r="A366" s="81" t="s">
        <v>904</v>
      </c>
      <c r="C366" s="100">
        <v>67.311111111111117</v>
      </c>
      <c r="D366" s="100">
        <v>3.7405555555555554</v>
      </c>
      <c r="E366" s="1">
        <v>172.66</v>
      </c>
      <c r="F366" s="1">
        <v>172.66</v>
      </c>
      <c r="G366" s="100" t="s">
        <v>127</v>
      </c>
      <c r="H366" s="1" t="s">
        <v>325</v>
      </c>
      <c r="I366" s="100" t="s">
        <v>126</v>
      </c>
      <c r="J366" s="101" t="s">
        <v>128</v>
      </c>
    </row>
    <row r="367" spans="1:10">
      <c r="A367" s="81" t="s">
        <v>905</v>
      </c>
      <c r="C367" s="100">
        <v>67.311111111111117</v>
      </c>
      <c r="D367" s="100">
        <v>3.7405555555555554</v>
      </c>
      <c r="E367" s="1">
        <v>172.66</v>
      </c>
      <c r="F367" s="1">
        <v>172.66</v>
      </c>
      <c r="G367" s="100" t="s">
        <v>127</v>
      </c>
      <c r="H367" s="1" t="s">
        <v>325</v>
      </c>
      <c r="I367" s="100" t="s">
        <v>126</v>
      </c>
      <c r="J367" s="101" t="s">
        <v>128</v>
      </c>
    </row>
    <row r="368" spans="1:10">
      <c r="A368" s="81" t="s">
        <v>906</v>
      </c>
      <c r="C368" s="100">
        <v>67.311111111111117</v>
      </c>
      <c r="D368" s="100">
        <v>3.7405555555555554</v>
      </c>
      <c r="E368" s="1">
        <v>172.66</v>
      </c>
      <c r="F368" s="1">
        <v>172.66</v>
      </c>
      <c r="G368" s="100" t="s">
        <v>127</v>
      </c>
      <c r="H368" s="1" t="s">
        <v>325</v>
      </c>
      <c r="I368" s="100" t="s">
        <v>126</v>
      </c>
      <c r="J368" s="101" t="s">
        <v>128</v>
      </c>
    </row>
    <row r="369" spans="1:10">
      <c r="A369" s="81" t="s">
        <v>907</v>
      </c>
      <c r="C369" s="100">
        <v>67.311111111111117</v>
      </c>
      <c r="D369" s="100">
        <v>3.7405555555555554</v>
      </c>
      <c r="E369" s="1">
        <v>174.16</v>
      </c>
      <c r="F369" s="1">
        <v>174.16</v>
      </c>
      <c r="G369" s="100" t="s">
        <v>127</v>
      </c>
      <c r="H369" s="1" t="s">
        <v>325</v>
      </c>
      <c r="I369" s="100" t="s">
        <v>126</v>
      </c>
      <c r="J369" s="101" t="s">
        <v>128</v>
      </c>
    </row>
    <row r="370" spans="1:10">
      <c r="A370" s="81" t="s">
        <v>908</v>
      </c>
      <c r="C370" s="100">
        <v>67.311111111111117</v>
      </c>
      <c r="D370" s="100">
        <v>3.7405555555555554</v>
      </c>
      <c r="E370" s="1">
        <v>174.6</v>
      </c>
      <c r="F370" s="1">
        <v>174.6</v>
      </c>
      <c r="G370" s="100" t="s">
        <v>127</v>
      </c>
      <c r="H370" s="1" t="s">
        <v>325</v>
      </c>
      <c r="I370" s="100" t="s">
        <v>126</v>
      </c>
      <c r="J370" s="101" t="s">
        <v>128</v>
      </c>
    </row>
    <row r="371" spans="1:10">
      <c r="A371" s="81" t="s">
        <v>909</v>
      </c>
      <c r="C371" s="100">
        <v>67.311111111111117</v>
      </c>
      <c r="D371" s="100">
        <v>3.7405555555555554</v>
      </c>
      <c r="E371" s="1">
        <v>174.6</v>
      </c>
      <c r="F371" s="1">
        <v>174.6</v>
      </c>
      <c r="G371" s="100" t="s">
        <v>127</v>
      </c>
      <c r="H371" s="1" t="s">
        <v>325</v>
      </c>
      <c r="I371" s="100" t="s">
        <v>126</v>
      </c>
      <c r="J371" s="101" t="s">
        <v>128</v>
      </c>
    </row>
    <row r="372" spans="1:10">
      <c r="A372" s="81" t="s">
        <v>910</v>
      </c>
      <c r="C372" s="100">
        <v>67.311111111111117</v>
      </c>
      <c r="D372" s="100">
        <v>3.7405555555555554</v>
      </c>
      <c r="E372" s="1">
        <v>176.1</v>
      </c>
      <c r="F372" s="1">
        <v>176.1</v>
      </c>
      <c r="G372" s="100" t="s">
        <v>127</v>
      </c>
      <c r="H372" s="1" t="s">
        <v>325</v>
      </c>
      <c r="I372" s="100" t="s">
        <v>126</v>
      </c>
      <c r="J372" s="101" t="s">
        <v>128</v>
      </c>
    </row>
    <row r="373" spans="1:10">
      <c r="A373" s="81" t="s">
        <v>911</v>
      </c>
      <c r="C373" s="100">
        <v>67.311111111111117</v>
      </c>
      <c r="D373" s="100">
        <v>3.7405555555555554</v>
      </c>
      <c r="E373" s="1">
        <v>176.1</v>
      </c>
      <c r="F373" s="1">
        <v>176.1</v>
      </c>
      <c r="G373" s="100" t="s">
        <v>127</v>
      </c>
      <c r="H373" s="1" t="s">
        <v>325</v>
      </c>
      <c r="I373" s="100" t="s">
        <v>126</v>
      </c>
      <c r="J373" s="101" t="s">
        <v>128</v>
      </c>
    </row>
    <row r="374" spans="1:10">
      <c r="A374" s="81" t="s">
        <v>912</v>
      </c>
      <c r="C374" s="100">
        <v>67.311111111111117</v>
      </c>
      <c r="D374" s="100">
        <v>3.7405555555555554</v>
      </c>
      <c r="E374" s="1">
        <v>177.47</v>
      </c>
      <c r="F374" s="1">
        <v>177.47</v>
      </c>
      <c r="G374" s="100" t="s">
        <v>127</v>
      </c>
      <c r="H374" s="1" t="s">
        <v>325</v>
      </c>
      <c r="I374" s="100" t="s">
        <v>126</v>
      </c>
      <c r="J374" s="101" t="s">
        <v>128</v>
      </c>
    </row>
    <row r="375" spans="1:10">
      <c r="A375" s="81" t="s">
        <v>913</v>
      </c>
      <c r="C375" s="100">
        <v>67.311111111111117</v>
      </c>
      <c r="D375" s="100">
        <v>3.7405555555555554</v>
      </c>
      <c r="E375" s="1">
        <v>177.47</v>
      </c>
      <c r="F375" s="1">
        <v>177.47</v>
      </c>
      <c r="G375" s="100" t="s">
        <v>127</v>
      </c>
      <c r="H375" s="1" t="s">
        <v>325</v>
      </c>
      <c r="I375" s="100" t="s">
        <v>126</v>
      </c>
      <c r="J375" s="101" t="s">
        <v>128</v>
      </c>
    </row>
    <row r="376" spans="1:10">
      <c r="A376" s="81" t="s">
        <v>914</v>
      </c>
      <c r="C376" s="100">
        <v>67.311111111111117</v>
      </c>
      <c r="D376" s="100">
        <v>3.7405555555555554</v>
      </c>
      <c r="E376" s="1">
        <v>178.96</v>
      </c>
      <c r="F376" s="1">
        <v>178.96</v>
      </c>
      <c r="G376" s="100" t="s">
        <v>127</v>
      </c>
      <c r="H376" s="1" t="s">
        <v>325</v>
      </c>
      <c r="I376" s="100" t="s">
        <v>126</v>
      </c>
      <c r="J376" s="101" t="s">
        <v>128</v>
      </c>
    </row>
    <row r="377" spans="1:10">
      <c r="A377" s="81" t="s">
        <v>915</v>
      </c>
      <c r="C377" s="100">
        <v>67.311111111111117</v>
      </c>
      <c r="D377" s="100">
        <v>3.7405555555555554</v>
      </c>
      <c r="E377" s="1">
        <v>178.96</v>
      </c>
      <c r="F377" s="1">
        <v>178.96</v>
      </c>
      <c r="G377" s="100" t="s">
        <v>127</v>
      </c>
      <c r="H377" s="1" t="s">
        <v>325</v>
      </c>
      <c r="I377" s="100" t="s">
        <v>126</v>
      </c>
      <c r="J377" s="101" t="s">
        <v>128</v>
      </c>
    </row>
    <row r="378" spans="1:10">
      <c r="A378" s="81" t="s">
        <v>916</v>
      </c>
      <c r="C378" s="100">
        <v>67.311111111111117</v>
      </c>
      <c r="D378" s="100">
        <v>3.7405555555555554</v>
      </c>
      <c r="E378" s="1">
        <v>179.5</v>
      </c>
      <c r="F378" s="1">
        <v>179.5</v>
      </c>
      <c r="G378" s="100" t="s">
        <v>127</v>
      </c>
      <c r="H378" s="1" t="s">
        <v>325</v>
      </c>
      <c r="I378" s="100" t="s">
        <v>126</v>
      </c>
      <c r="J378" s="101" t="s">
        <v>128</v>
      </c>
    </row>
    <row r="379" spans="1:10">
      <c r="A379" s="81" t="s">
        <v>917</v>
      </c>
      <c r="C379" s="100">
        <v>67.311111111111117</v>
      </c>
      <c r="D379" s="100">
        <v>3.7405555555555554</v>
      </c>
      <c r="E379" s="1">
        <v>179.5</v>
      </c>
      <c r="F379" s="1">
        <v>179.5</v>
      </c>
      <c r="G379" s="100" t="s">
        <v>127</v>
      </c>
      <c r="H379" s="1" t="s">
        <v>325</v>
      </c>
      <c r="I379" s="100" t="s">
        <v>126</v>
      </c>
      <c r="J379" s="101" t="s">
        <v>128</v>
      </c>
    </row>
    <row r="380" spans="1:10">
      <c r="A380" s="81" t="s">
        <v>918</v>
      </c>
      <c r="C380" s="100">
        <v>67.311111111111117</v>
      </c>
      <c r="D380" s="100">
        <v>3.7405555555555554</v>
      </c>
      <c r="E380" s="1">
        <v>180.95</v>
      </c>
      <c r="F380" s="1">
        <v>180.95</v>
      </c>
      <c r="G380" s="100" t="s">
        <v>127</v>
      </c>
      <c r="H380" s="1" t="s">
        <v>325</v>
      </c>
      <c r="I380" s="100" t="s">
        <v>126</v>
      </c>
      <c r="J380" s="101" t="s">
        <v>128</v>
      </c>
    </row>
    <row r="381" spans="1:10">
      <c r="A381" s="81" t="s">
        <v>919</v>
      </c>
      <c r="C381" s="100">
        <v>67.311111111111117</v>
      </c>
      <c r="D381" s="100">
        <v>3.7405555555555554</v>
      </c>
      <c r="E381" s="1">
        <v>180.95</v>
      </c>
      <c r="F381" s="1">
        <v>180.95</v>
      </c>
      <c r="G381" s="100" t="s">
        <v>127</v>
      </c>
      <c r="H381" s="1" t="s">
        <v>325</v>
      </c>
      <c r="I381" s="100" t="s">
        <v>126</v>
      </c>
      <c r="J381" s="101" t="s">
        <v>128</v>
      </c>
    </row>
    <row r="382" spans="1:10">
      <c r="A382" s="81" t="s">
        <v>920</v>
      </c>
      <c r="C382" s="100">
        <v>67.311111111111117</v>
      </c>
      <c r="D382" s="100">
        <v>3.7405555555555554</v>
      </c>
      <c r="E382" s="1">
        <v>182.35</v>
      </c>
      <c r="F382" s="1">
        <v>182.35</v>
      </c>
      <c r="G382" s="100" t="s">
        <v>127</v>
      </c>
      <c r="H382" s="1" t="s">
        <v>325</v>
      </c>
      <c r="I382" s="100" t="s">
        <v>126</v>
      </c>
      <c r="J382" s="101" t="s">
        <v>128</v>
      </c>
    </row>
    <row r="383" spans="1:10">
      <c r="A383" s="81" t="s">
        <v>921</v>
      </c>
      <c r="C383" s="100">
        <v>67.311111111111117</v>
      </c>
      <c r="D383" s="100">
        <v>3.7405555555555554</v>
      </c>
      <c r="E383" s="1">
        <v>183.69</v>
      </c>
      <c r="F383" s="1">
        <v>183.69</v>
      </c>
      <c r="G383" s="100" t="s">
        <v>127</v>
      </c>
      <c r="H383" s="1" t="s">
        <v>325</v>
      </c>
      <c r="I383" s="100" t="s">
        <v>126</v>
      </c>
      <c r="J383" s="101" t="s">
        <v>128</v>
      </c>
    </row>
    <row r="384" spans="1:10">
      <c r="A384" s="81" t="s">
        <v>922</v>
      </c>
      <c r="C384" s="100">
        <v>67.311111111111117</v>
      </c>
      <c r="D384" s="100">
        <v>3.7405555555555554</v>
      </c>
      <c r="E384" s="1">
        <v>184.3</v>
      </c>
      <c r="F384" s="1">
        <v>184.3</v>
      </c>
      <c r="G384" s="100" t="s">
        <v>127</v>
      </c>
      <c r="H384" s="1" t="s">
        <v>325</v>
      </c>
      <c r="I384" s="100" t="s">
        <v>126</v>
      </c>
      <c r="J384" s="101" t="s">
        <v>128</v>
      </c>
    </row>
    <row r="385" spans="1:10">
      <c r="A385" s="81" t="s">
        <v>923</v>
      </c>
      <c r="C385" s="100">
        <v>67.311111111111117</v>
      </c>
      <c r="D385" s="100">
        <v>3.7405555555555554</v>
      </c>
      <c r="E385" s="1">
        <v>185.27</v>
      </c>
      <c r="F385" s="1">
        <v>185.27</v>
      </c>
      <c r="G385" s="100" t="s">
        <v>127</v>
      </c>
      <c r="H385" s="1" t="s">
        <v>325</v>
      </c>
      <c r="I385" s="100" t="s">
        <v>126</v>
      </c>
      <c r="J385" s="101" t="s">
        <v>128</v>
      </c>
    </row>
    <row r="386" spans="1:10">
      <c r="A386" s="81" t="s">
        <v>924</v>
      </c>
      <c r="C386" s="100">
        <v>67.311111111111117</v>
      </c>
      <c r="D386" s="100">
        <v>3.7405555555555554</v>
      </c>
      <c r="E386" s="1">
        <v>186.48</v>
      </c>
      <c r="F386" s="1">
        <v>186.48</v>
      </c>
      <c r="G386" s="100" t="s">
        <v>127</v>
      </c>
      <c r="H386" s="1" t="s">
        <v>325</v>
      </c>
      <c r="I386" s="100" t="s">
        <v>126</v>
      </c>
      <c r="J386" s="101" t="s">
        <v>128</v>
      </c>
    </row>
    <row r="387" spans="1:10">
      <c r="A387" s="81" t="s">
        <v>925</v>
      </c>
      <c r="C387" s="100">
        <v>67.311111111111117</v>
      </c>
      <c r="D387" s="100">
        <v>3.7405555555555554</v>
      </c>
      <c r="E387" s="1">
        <v>187.92</v>
      </c>
      <c r="F387" s="1">
        <v>187.92</v>
      </c>
      <c r="G387" s="100" t="s">
        <v>127</v>
      </c>
      <c r="H387" s="1" t="s">
        <v>325</v>
      </c>
      <c r="I387" s="100" t="s">
        <v>126</v>
      </c>
      <c r="J387" s="101" t="s">
        <v>128</v>
      </c>
    </row>
    <row r="388" spans="1:10">
      <c r="A388" s="81" t="s">
        <v>926</v>
      </c>
      <c r="C388" s="100">
        <v>67.311111111111117</v>
      </c>
      <c r="D388" s="100">
        <v>3.7405555555555554</v>
      </c>
      <c r="E388" s="1">
        <v>189.2</v>
      </c>
      <c r="F388" s="1">
        <v>189.2</v>
      </c>
      <c r="G388" s="100" t="s">
        <v>127</v>
      </c>
      <c r="H388" s="1" t="s">
        <v>325</v>
      </c>
      <c r="I388" s="100" t="s">
        <v>126</v>
      </c>
      <c r="J388" s="101" t="s">
        <v>128</v>
      </c>
    </row>
    <row r="389" spans="1:10">
      <c r="A389" s="81" t="s">
        <v>927</v>
      </c>
      <c r="C389" s="100">
        <v>67.311111111111117</v>
      </c>
      <c r="D389" s="100">
        <v>3.7405555555555554</v>
      </c>
      <c r="E389" s="1">
        <v>190.23</v>
      </c>
      <c r="F389" s="1">
        <v>190.23</v>
      </c>
      <c r="G389" s="100" t="s">
        <v>127</v>
      </c>
      <c r="H389" s="1" t="s">
        <v>325</v>
      </c>
      <c r="I389" s="100" t="s">
        <v>126</v>
      </c>
      <c r="J389" s="101" t="s">
        <v>128</v>
      </c>
    </row>
    <row r="390" spans="1:10">
      <c r="A390" s="81" t="s">
        <v>928</v>
      </c>
      <c r="C390" s="100">
        <v>67.311111111111117</v>
      </c>
      <c r="D390" s="100">
        <v>3.7405555555555554</v>
      </c>
      <c r="E390" s="1">
        <v>191.67</v>
      </c>
      <c r="F390" s="1">
        <v>191.67</v>
      </c>
      <c r="G390" s="100" t="s">
        <v>127</v>
      </c>
      <c r="H390" s="1" t="s">
        <v>325</v>
      </c>
      <c r="I390" s="100" t="s">
        <v>126</v>
      </c>
      <c r="J390" s="101" t="s">
        <v>128</v>
      </c>
    </row>
    <row r="391" spans="1:10">
      <c r="A391" s="81" t="s">
        <v>929</v>
      </c>
      <c r="C391" s="100">
        <v>67.311111111111117</v>
      </c>
      <c r="D391" s="100">
        <v>3.7405555555555554</v>
      </c>
      <c r="E391" s="1">
        <v>191.67</v>
      </c>
      <c r="F391" s="1">
        <v>191.67</v>
      </c>
      <c r="G391" s="100" t="s">
        <v>127</v>
      </c>
      <c r="H391" s="1" t="s">
        <v>325</v>
      </c>
      <c r="I391" s="100" t="s">
        <v>126</v>
      </c>
      <c r="J391" s="101" t="s">
        <v>128</v>
      </c>
    </row>
    <row r="392" spans="1:10">
      <c r="A392" s="81" t="s">
        <v>930</v>
      </c>
      <c r="C392" s="100">
        <v>67.311111111111117</v>
      </c>
      <c r="D392" s="100">
        <v>3.7405555555555554</v>
      </c>
      <c r="E392" s="1">
        <v>193.13</v>
      </c>
      <c r="F392" s="1">
        <v>193.13</v>
      </c>
      <c r="G392" s="100" t="s">
        <v>127</v>
      </c>
      <c r="H392" s="1" t="s">
        <v>325</v>
      </c>
      <c r="I392" s="100" t="s">
        <v>126</v>
      </c>
      <c r="J392" s="101" t="s">
        <v>128</v>
      </c>
    </row>
    <row r="393" spans="1:10">
      <c r="A393" s="81" t="s">
        <v>931</v>
      </c>
      <c r="C393" s="100">
        <v>67.311111111111117</v>
      </c>
      <c r="D393" s="100">
        <v>3.7405555555555554</v>
      </c>
      <c r="E393" s="1">
        <v>194</v>
      </c>
      <c r="F393" s="1">
        <v>194</v>
      </c>
      <c r="G393" s="100" t="s">
        <v>127</v>
      </c>
      <c r="H393" s="1" t="s">
        <v>325</v>
      </c>
      <c r="I393" s="100" t="s">
        <v>126</v>
      </c>
      <c r="J393" s="101" t="s">
        <v>128</v>
      </c>
    </row>
    <row r="394" spans="1:10">
      <c r="A394" s="81" t="s">
        <v>932</v>
      </c>
      <c r="C394" s="100">
        <v>67.311111111111117</v>
      </c>
      <c r="D394" s="100">
        <v>3.7405555555555554</v>
      </c>
      <c r="E394" s="1">
        <v>195.4</v>
      </c>
      <c r="F394" s="1">
        <v>195.4</v>
      </c>
      <c r="G394" s="100" t="s">
        <v>127</v>
      </c>
      <c r="H394" s="1" t="s">
        <v>325</v>
      </c>
      <c r="I394" s="100" t="s">
        <v>126</v>
      </c>
      <c r="J394" s="101" t="s">
        <v>128</v>
      </c>
    </row>
    <row r="395" spans="1:10">
      <c r="A395" s="81" t="s">
        <v>933</v>
      </c>
      <c r="C395" s="100">
        <v>67.311111111111117</v>
      </c>
      <c r="D395" s="100">
        <v>3.7405555555555554</v>
      </c>
      <c r="E395" s="1">
        <v>196.07</v>
      </c>
      <c r="F395" s="1">
        <v>196.07</v>
      </c>
      <c r="G395" s="100" t="s">
        <v>127</v>
      </c>
      <c r="H395" s="1" t="s">
        <v>325</v>
      </c>
      <c r="I395" s="100" t="s">
        <v>126</v>
      </c>
      <c r="J395" s="101" t="s">
        <v>128</v>
      </c>
    </row>
    <row r="396" spans="1:10">
      <c r="A396" s="81" t="s">
        <v>934</v>
      </c>
      <c r="C396" s="100">
        <v>67.311111111111117</v>
      </c>
      <c r="D396" s="100">
        <v>3.7405555555555554</v>
      </c>
      <c r="E396" s="1">
        <v>197.07</v>
      </c>
      <c r="F396" s="1">
        <v>197.07</v>
      </c>
      <c r="G396" s="100" t="s">
        <v>127</v>
      </c>
      <c r="H396" s="1" t="s">
        <v>325</v>
      </c>
      <c r="I396" s="100" t="s">
        <v>126</v>
      </c>
      <c r="J396" s="101" t="s">
        <v>128</v>
      </c>
    </row>
    <row r="397" spans="1:10">
      <c r="A397" s="81" t="s">
        <v>935</v>
      </c>
      <c r="C397" s="100">
        <v>67.311111111111117</v>
      </c>
      <c r="D397" s="100">
        <v>3.7405555555555554</v>
      </c>
      <c r="E397" s="1">
        <v>199</v>
      </c>
      <c r="F397" s="1">
        <v>199</v>
      </c>
      <c r="G397" s="100" t="s">
        <v>127</v>
      </c>
      <c r="H397" s="1" t="s">
        <v>325</v>
      </c>
      <c r="I397" s="100" t="s">
        <v>126</v>
      </c>
      <c r="J397" s="101" t="s">
        <v>128</v>
      </c>
    </row>
    <row r="398" spans="1:10">
      <c r="A398" s="81" t="s">
        <v>936</v>
      </c>
      <c r="C398" s="100">
        <v>67.311111111111117</v>
      </c>
      <c r="D398" s="100">
        <v>3.7405555555555554</v>
      </c>
      <c r="E398" s="1">
        <v>200.38</v>
      </c>
      <c r="F398" s="1">
        <v>200.38</v>
      </c>
      <c r="G398" s="100" t="s">
        <v>127</v>
      </c>
      <c r="H398" s="1" t="s">
        <v>325</v>
      </c>
      <c r="I398" s="100" t="s">
        <v>126</v>
      </c>
      <c r="J398" s="101" t="s">
        <v>128</v>
      </c>
    </row>
    <row r="399" spans="1:10">
      <c r="A399" s="81" t="s">
        <v>937</v>
      </c>
      <c r="C399" s="100">
        <v>67.311111111111117</v>
      </c>
      <c r="D399" s="100">
        <v>3.7405555555555554</v>
      </c>
      <c r="E399" s="1">
        <v>201.88</v>
      </c>
      <c r="F399" s="1">
        <v>201.88</v>
      </c>
      <c r="G399" s="100" t="s">
        <v>127</v>
      </c>
      <c r="H399" s="1" t="s">
        <v>325</v>
      </c>
      <c r="I399" s="100" t="s">
        <v>126</v>
      </c>
      <c r="J399" s="101" t="s">
        <v>128</v>
      </c>
    </row>
    <row r="400" spans="1:10">
      <c r="A400" s="81" t="s">
        <v>938</v>
      </c>
      <c r="C400" s="100">
        <v>67.311111111111117</v>
      </c>
      <c r="D400" s="100">
        <v>3.7405555555555554</v>
      </c>
      <c r="E400" s="1">
        <v>203.38</v>
      </c>
      <c r="F400" s="1">
        <v>203.38</v>
      </c>
      <c r="G400" s="100" t="s">
        <v>127</v>
      </c>
      <c r="H400" s="1" t="s">
        <v>325</v>
      </c>
      <c r="I400" s="100" t="s">
        <v>126</v>
      </c>
      <c r="J400" s="101" t="s">
        <v>128</v>
      </c>
    </row>
    <row r="401" spans="1:10">
      <c r="A401" s="81" t="s">
        <v>939</v>
      </c>
      <c r="C401" s="100">
        <v>67.311111111111117</v>
      </c>
      <c r="D401" s="100">
        <v>3.7405555555555554</v>
      </c>
      <c r="E401" s="1">
        <v>203.8</v>
      </c>
      <c r="F401" s="1">
        <v>203.8</v>
      </c>
      <c r="G401" s="100" t="s">
        <v>127</v>
      </c>
      <c r="H401" s="1" t="s">
        <v>325</v>
      </c>
      <c r="I401" s="100" t="s">
        <v>126</v>
      </c>
      <c r="J401" s="101" t="s">
        <v>128</v>
      </c>
    </row>
    <row r="402" spans="1:10">
      <c r="A402" s="81" t="s">
        <v>940</v>
      </c>
      <c r="C402" s="100">
        <v>67.311111111111117</v>
      </c>
      <c r="D402" s="100">
        <v>3.7405555555555554</v>
      </c>
      <c r="E402" s="1">
        <v>203.8</v>
      </c>
      <c r="F402" s="1">
        <v>203.8</v>
      </c>
      <c r="G402" s="100" t="s">
        <v>127</v>
      </c>
      <c r="H402" s="1" t="s">
        <v>325</v>
      </c>
      <c r="I402" s="100" t="s">
        <v>126</v>
      </c>
      <c r="J402" s="101" t="s">
        <v>128</v>
      </c>
    </row>
    <row r="403" spans="1:10">
      <c r="A403" s="81" t="s">
        <v>941</v>
      </c>
      <c r="C403" s="100">
        <v>67.311111111111117</v>
      </c>
      <c r="D403" s="100">
        <v>3.7405555555555554</v>
      </c>
      <c r="E403" s="1">
        <v>203.8</v>
      </c>
      <c r="F403" s="1">
        <v>203.8</v>
      </c>
      <c r="G403" s="100" t="s">
        <v>127</v>
      </c>
      <c r="H403" s="1" t="s">
        <v>325</v>
      </c>
      <c r="I403" s="100" t="s">
        <v>126</v>
      </c>
      <c r="J403" s="101" t="s">
        <v>128</v>
      </c>
    </row>
    <row r="404" spans="1:10">
      <c r="A404" s="81" t="s">
        <v>942</v>
      </c>
      <c r="C404" s="100">
        <v>67.311111111111117</v>
      </c>
      <c r="D404" s="100">
        <v>3.7405555555555554</v>
      </c>
      <c r="E404" s="1">
        <v>206.64</v>
      </c>
      <c r="F404" s="1">
        <v>206.64</v>
      </c>
      <c r="G404" s="100" t="s">
        <v>127</v>
      </c>
      <c r="H404" s="1" t="s">
        <v>325</v>
      </c>
      <c r="I404" s="100" t="s">
        <v>126</v>
      </c>
      <c r="J404" s="101" t="s">
        <v>128</v>
      </c>
    </row>
    <row r="405" spans="1:10">
      <c r="A405" s="81" t="s">
        <v>943</v>
      </c>
      <c r="C405" s="100">
        <v>67.311111111111117</v>
      </c>
      <c r="D405" s="100">
        <v>3.7405555555555554</v>
      </c>
      <c r="E405" s="1">
        <v>208.1</v>
      </c>
      <c r="F405" s="1">
        <v>208.1</v>
      </c>
      <c r="G405" s="100" t="s">
        <v>127</v>
      </c>
      <c r="H405" s="1" t="s">
        <v>325</v>
      </c>
      <c r="I405" s="100" t="s">
        <v>126</v>
      </c>
      <c r="J405" s="101" t="s">
        <v>128</v>
      </c>
    </row>
    <row r="406" spans="1:10">
      <c r="A406" s="81" t="s">
        <v>944</v>
      </c>
      <c r="C406" s="100">
        <v>67.311111111111117</v>
      </c>
      <c r="D406" s="100">
        <v>3.7405555555555554</v>
      </c>
      <c r="E406" s="1">
        <v>208.1</v>
      </c>
      <c r="F406" s="1">
        <v>208.1</v>
      </c>
      <c r="G406" s="100" t="s">
        <v>127</v>
      </c>
      <c r="H406" s="1" t="s">
        <v>325</v>
      </c>
      <c r="I406" s="100" t="s">
        <v>126</v>
      </c>
      <c r="J406" s="101" t="s">
        <v>128</v>
      </c>
    </row>
    <row r="407" spans="1:10">
      <c r="A407" s="81" t="s">
        <v>945</v>
      </c>
      <c r="C407" s="100">
        <v>67.311111111111117</v>
      </c>
      <c r="D407" s="100">
        <v>3.7405555555555554</v>
      </c>
      <c r="E407" s="1">
        <v>208.7</v>
      </c>
      <c r="F407" s="1">
        <v>208.7</v>
      </c>
      <c r="G407" s="100" t="s">
        <v>127</v>
      </c>
      <c r="H407" s="1" t="s">
        <v>325</v>
      </c>
      <c r="I407" s="100" t="s">
        <v>126</v>
      </c>
      <c r="J407" s="101" t="s">
        <v>128</v>
      </c>
    </row>
    <row r="408" spans="1:10">
      <c r="A408" s="81" t="s">
        <v>946</v>
      </c>
      <c r="C408" s="100">
        <v>67.311111111111117</v>
      </c>
      <c r="D408" s="100">
        <v>3.7405555555555554</v>
      </c>
      <c r="E408" s="1">
        <v>210.15</v>
      </c>
      <c r="F408" s="1">
        <v>210.15</v>
      </c>
      <c r="G408" s="100" t="s">
        <v>127</v>
      </c>
      <c r="H408" s="1" t="s">
        <v>325</v>
      </c>
      <c r="I408" s="100" t="s">
        <v>126</v>
      </c>
      <c r="J408" s="101" t="s">
        <v>128</v>
      </c>
    </row>
    <row r="409" spans="1:10">
      <c r="A409" s="81" t="s">
        <v>947</v>
      </c>
      <c r="C409" s="100">
        <v>67.311111111111117</v>
      </c>
      <c r="D409" s="100">
        <v>3.7405555555555554</v>
      </c>
      <c r="E409" s="1">
        <v>211.65</v>
      </c>
      <c r="F409" s="1">
        <v>211.65</v>
      </c>
      <c r="G409" s="100" t="s">
        <v>127</v>
      </c>
      <c r="H409" s="1" t="s">
        <v>325</v>
      </c>
      <c r="I409" s="100" t="s">
        <v>126</v>
      </c>
      <c r="J409" s="101" t="s">
        <v>128</v>
      </c>
    </row>
    <row r="410" spans="1:10">
      <c r="A410" s="81" t="s">
        <v>948</v>
      </c>
      <c r="C410" s="100">
        <v>67.311111111111117</v>
      </c>
      <c r="D410" s="100">
        <v>3.7405555555555554</v>
      </c>
      <c r="E410" s="1">
        <v>211.65</v>
      </c>
      <c r="F410" s="1">
        <v>211.65</v>
      </c>
      <c r="G410" s="100" t="s">
        <v>127</v>
      </c>
      <c r="H410" s="1" t="s">
        <v>325</v>
      </c>
      <c r="I410" s="100" t="s">
        <v>126</v>
      </c>
      <c r="J410" s="101" t="s">
        <v>128</v>
      </c>
    </row>
    <row r="411" spans="1:10">
      <c r="A411" s="81" t="s">
        <v>949</v>
      </c>
      <c r="C411" s="100">
        <v>67.311111111111117</v>
      </c>
      <c r="D411" s="100">
        <v>3.7405555555555554</v>
      </c>
      <c r="E411" s="1">
        <v>213.6</v>
      </c>
      <c r="F411" s="1">
        <v>213.6</v>
      </c>
      <c r="G411" s="100" t="s">
        <v>127</v>
      </c>
      <c r="H411" s="1" t="s">
        <v>325</v>
      </c>
      <c r="I411" s="100" t="s">
        <v>126</v>
      </c>
      <c r="J411" s="101" t="s">
        <v>128</v>
      </c>
    </row>
    <row r="412" spans="1:10">
      <c r="A412" s="81" t="s">
        <v>950</v>
      </c>
      <c r="C412" s="100">
        <v>67.311111111111117</v>
      </c>
      <c r="D412" s="100">
        <v>3.7405555555555554</v>
      </c>
      <c r="E412" s="1">
        <v>213.6</v>
      </c>
      <c r="F412" s="1">
        <v>213.6</v>
      </c>
      <c r="G412" s="100" t="s">
        <v>127</v>
      </c>
      <c r="H412" s="1" t="s">
        <v>325</v>
      </c>
      <c r="I412" s="100" t="s">
        <v>126</v>
      </c>
      <c r="J412" s="101" t="s">
        <v>128</v>
      </c>
    </row>
    <row r="413" spans="1:10">
      <c r="A413" s="81" t="s">
        <v>951</v>
      </c>
      <c r="C413" s="100">
        <v>67.311111111111117</v>
      </c>
      <c r="D413" s="100">
        <v>3.7405555555555554</v>
      </c>
      <c r="E413" s="1">
        <v>213.6</v>
      </c>
      <c r="F413" s="1">
        <v>213.6</v>
      </c>
      <c r="G413" s="100" t="s">
        <v>127</v>
      </c>
      <c r="H413" s="1" t="s">
        <v>325</v>
      </c>
      <c r="I413" s="100" t="s">
        <v>126</v>
      </c>
      <c r="J413" s="101" t="s">
        <v>128</v>
      </c>
    </row>
    <row r="414" spans="1:10">
      <c r="A414" s="81" t="s">
        <v>952</v>
      </c>
      <c r="C414" s="100">
        <v>67.311111111111117</v>
      </c>
      <c r="D414" s="100">
        <v>3.7405555555555554</v>
      </c>
      <c r="E414" s="1">
        <v>215.03</v>
      </c>
      <c r="F414" s="1">
        <v>215.03</v>
      </c>
      <c r="G414" s="100" t="s">
        <v>127</v>
      </c>
      <c r="H414" s="1" t="s">
        <v>325</v>
      </c>
      <c r="I414" s="100" t="s">
        <v>126</v>
      </c>
      <c r="J414" s="101" t="s">
        <v>128</v>
      </c>
    </row>
    <row r="415" spans="1:10">
      <c r="A415" s="81" t="s">
        <v>953</v>
      </c>
      <c r="C415" s="100">
        <v>67.311111111111117</v>
      </c>
      <c r="D415" s="100">
        <v>3.7405555555555554</v>
      </c>
      <c r="E415" s="1">
        <v>215.03</v>
      </c>
      <c r="F415" s="1">
        <v>215.03</v>
      </c>
      <c r="G415" s="100" t="s">
        <v>127</v>
      </c>
      <c r="H415" s="1" t="s">
        <v>325</v>
      </c>
      <c r="I415" s="100" t="s">
        <v>126</v>
      </c>
      <c r="J415" s="101" t="s">
        <v>128</v>
      </c>
    </row>
    <row r="416" spans="1:10">
      <c r="A416" s="81" t="s">
        <v>954</v>
      </c>
      <c r="C416" s="100">
        <v>67.311111111111117</v>
      </c>
      <c r="D416" s="100">
        <v>3.7405555555555554</v>
      </c>
      <c r="E416" s="1">
        <v>218.5</v>
      </c>
      <c r="F416" s="1">
        <v>218.5</v>
      </c>
      <c r="G416" s="100" t="s">
        <v>127</v>
      </c>
      <c r="H416" s="1" t="s">
        <v>325</v>
      </c>
      <c r="I416" s="100" t="s">
        <v>126</v>
      </c>
      <c r="J416" s="101" t="s">
        <v>128</v>
      </c>
    </row>
    <row r="417" spans="1:10">
      <c r="A417" s="81" t="s">
        <v>955</v>
      </c>
      <c r="C417" s="100">
        <v>67.311111111111117</v>
      </c>
      <c r="D417" s="100">
        <v>3.7405555555555554</v>
      </c>
      <c r="E417" s="1">
        <v>218.5</v>
      </c>
      <c r="F417" s="1">
        <v>218.5</v>
      </c>
      <c r="G417" s="100" t="s">
        <v>127</v>
      </c>
      <c r="H417" s="1" t="s">
        <v>325</v>
      </c>
      <c r="I417" s="100" t="s">
        <v>126</v>
      </c>
      <c r="J417" s="101" t="s">
        <v>128</v>
      </c>
    </row>
    <row r="418" spans="1:10">
      <c r="A418" s="81" t="s">
        <v>956</v>
      </c>
      <c r="C418" s="100">
        <v>67.311111111111117</v>
      </c>
      <c r="D418" s="100">
        <v>3.7405555555555554</v>
      </c>
      <c r="E418" s="1">
        <v>218.5</v>
      </c>
      <c r="F418" s="1">
        <v>218.5</v>
      </c>
      <c r="G418" s="100" t="s">
        <v>127</v>
      </c>
      <c r="H418" s="1" t="s">
        <v>325</v>
      </c>
      <c r="I418" s="100" t="s">
        <v>126</v>
      </c>
      <c r="J418" s="101" t="s">
        <v>128</v>
      </c>
    </row>
    <row r="419" spans="1:10">
      <c r="A419" s="81" t="s">
        <v>957</v>
      </c>
      <c r="C419" s="100">
        <v>67.311111111111117</v>
      </c>
      <c r="D419" s="100">
        <v>3.7405555555555554</v>
      </c>
      <c r="E419" s="1">
        <v>219.97</v>
      </c>
      <c r="F419" s="1">
        <v>219.97</v>
      </c>
      <c r="G419" s="100" t="s">
        <v>127</v>
      </c>
      <c r="H419" s="1" t="s">
        <v>325</v>
      </c>
      <c r="I419" s="100" t="s">
        <v>126</v>
      </c>
      <c r="J419" s="101" t="s">
        <v>128</v>
      </c>
    </row>
    <row r="420" spans="1:10">
      <c r="A420" s="81" t="s">
        <v>958</v>
      </c>
      <c r="C420" s="100">
        <v>67.311111111111117</v>
      </c>
      <c r="D420" s="100">
        <v>3.7405555555555554</v>
      </c>
      <c r="E420" s="1">
        <v>219.97</v>
      </c>
      <c r="F420" s="1">
        <v>219.97</v>
      </c>
      <c r="G420" s="100" t="s">
        <v>127</v>
      </c>
      <c r="H420" s="1" t="s">
        <v>325</v>
      </c>
      <c r="I420" s="100" t="s">
        <v>126</v>
      </c>
      <c r="J420" s="101" t="s">
        <v>128</v>
      </c>
    </row>
    <row r="421" spans="1:10">
      <c r="A421" s="81" t="s">
        <v>959</v>
      </c>
      <c r="C421" s="100">
        <v>67.311111111111117</v>
      </c>
      <c r="D421" s="100">
        <v>3.7405555555555554</v>
      </c>
      <c r="E421" s="1">
        <v>219.97</v>
      </c>
      <c r="F421" s="1">
        <v>219.97</v>
      </c>
      <c r="G421" s="100" t="s">
        <v>127</v>
      </c>
      <c r="H421" s="1" t="s">
        <v>325</v>
      </c>
      <c r="I421" s="100" t="s">
        <v>126</v>
      </c>
      <c r="J421" s="101" t="s">
        <v>128</v>
      </c>
    </row>
    <row r="422" spans="1:10">
      <c r="A422" s="81" t="s">
        <v>960</v>
      </c>
      <c r="C422" s="100">
        <v>67.311111111111117</v>
      </c>
      <c r="D422" s="100">
        <v>3.7405555555555554</v>
      </c>
      <c r="E422" s="1">
        <v>224.12</v>
      </c>
      <c r="F422" s="1">
        <v>224.12</v>
      </c>
      <c r="G422" s="100" t="s">
        <v>127</v>
      </c>
      <c r="H422" s="1" t="s">
        <v>325</v>
      </c>
      <c r="I422" s="100" t="s">
        <v>126</v>
      </c>
      <c r="J422" s="101" t="s">
        <v>128</v>
      </c>
    </row>
    <row r="423" spans="1:10">
      <c r="A423" s="81" t="s">
        <v>961</v>
      </c>
      <c r="C423" s="100">
        <v>67.311111111111117</v>
      </c>
      <c r="D423" s="100">
        <v>3.7405555555555554</v>
      </c>
      <c r="E423" s="1">
        <v>224.12</v>
      </c>
      <c r="F423" s="1">
        <v>224.12</v>
      </c>
      <c r="G423" s="100" t="s">
        <v>127</v>
      </c>
      <c r="H423" s="1" t="s">
        <v>325</v>
      </c>
      <c r="I423" s="100" t="s">
        <v>126</v>
      </c>
      <c r="J423" s="101" t="s">
        <v>128</v>
      </c>
    </row>
    <row r="424" spans="1:10">
      <c r="A424" s="81" t="s">
        <v>962</v>
      </c>
      <c r="C424" s="100">
        <v>67.311111111111117</v>
      </c>
      <c r="D424" s="100">
        <v>3.7405555555555554</v>
      </c>
      <c r="E424" s="1">
        <v>225.56</v>
      </c>
      <c r="F424" s="1">
        <v>225.56</v>
      </c>
      <c r="G424" s="100" t="s">
        <v>127</v>
      </c>
      <c r="H424" s="1" t="s">
        <v>325</v>
      </c>
      <c r="I424" s="100" t="s">
        <v>126</v>
      </c>
      <c r="J424" s="101" t="s">
        <v>128</v>
      </c>
    </row>
    <row r="425" spans="1:10">
      <c r="A425" s="81" t="s">
        <v>963</v>
      </c>
      <c r="C425" s="100">
        <v>67.311111111111117</v>
      </c>
      <c r="D425" s="100">
        <v>3.7405555555555554</v>
      </c>
      <c r="E425" s="1">
        <v>225.56</v>
      </c>
      <c r="F425" s="1">
        <v>225.56</v>
      </c>
      <c r="G425" s="100" t="s">
        <v>127</v>
      </c>
      <c r="H425" s="1" t="s">
        <v>325</v>
      </c>
      <c r="I425" s="100" t="s">
        <v>126</v>
      </c>
      <c r="J425" s="101" t="s">
        <v>128</v>
      </c>
    </row>
    <row r="426" spans="1:10">
      <c r="A426" s="81" t="s">
        <v>964</v>
      </c>
      <c r="C426" s="100">
        <v>67.311111111111117</v>
      </c>
      <c r="D426" s="100">
        <v>3.7405555555555554</v>
      </c>
      <c r="E426" s="1">
        <v>228.1</v>
      </c>
      <c r="F426" s="1">
        <v>228.1</v>
      </c>
      <c r="G426" s="100" t="s">
        <v>127</v>
      </c>
      <c r="H426" s="1" t="s">
        <v>325</v>
      </c>
      <c r="I426" s="100" t="s">
        <v>126</v>
      </c>
      <c r="J426" s="101" t="s">
        <v>128</v>
      </c>
    </row>
    <row r="427" spans="1:10">
      <c r="A427" s="81" t="s">
        <v>965</v>
      </c>
      <c r="C427" s="100">
        <v>67.311111111111117</v>
      </c>
      <c r="D427" s="100">
        <v>3.7405555555555554</v>
      </c>
      <c r="E427" s="1">
        <v>229.53</v>
      </c>
      <c r="F427" s="1">
        <v>229.53</v>
      </c>
      <c r="G427" s="100" t="s">
        <v>127</v>
      </c>
      <c r="H427" s="1" t="s">
        <v>325</v>
      </c>
      <c r="I427" s="100" t="s">
        <v>126</v>
      </c>
      <c r="J427" s="101" t="s">
        <v>128</v>
      </c>
    </row>
    <row r="428" spans="1:10">
      <c r="A428" s="81" t="s">
        <v>966</v>
      </c>
      <c r="C428" s="100">
        <v>67.311111111111117</v>
      </c>
      <c r="D428" s="100">
        <v>3.7405555555555554</v>
      </c>
      <c r="E428" s="1">
        <v>229.53</v>
      </c>
      <c r="F428" s="1">
        <v>229.53</v>
      </c>
      <c r="G428" s="100" t="s">
        <v>127</v>
      </c>
      <c r="H428" s="1" t="s">
        <v>325</v>
      </c>
      <c r="I428" s="100" t="s">
        <v>126</v>
      </c>
      <c r="J428" s="101" t="s">
        <v>128</v>
      </c>
    </row>
    <row r="429" spans="1:10">
      <c r="A429" s="81" t="s">
        <v>967</v>
      </c>
      <c r="C429" s="100">
        <v>67.311111111111117</v>
      </c>
      <c r="D429" s="100">
        <v>3.7405555555555554</v>
      </c>
      <c r="E429" s="1">
        <v>230.95</v>
      </c>
      <c r="F429" s="1">
        <v>230.95</v>
      </c>
      <c r="G429" s="100" t="s">
        <v>127</v>
      </c>
      <c r="H429" s="1" t="s">
        <v>325</v>
      </c>
      <c r="I429" s="100" t="s">
        <v>126</v>
      </c>
      <c r="J429" s="101" t="s">
        <v>128</v>
      </c>
    </row>
    <row r="430" spans="1:10">
      <c r="A430" s="81" t="s">
        <v>968</v>
      </c>
      <c r="C430" s="100">
        <v>67.311111111111117</v>
      </c>
      <c r="D430" s="100">
        <v>3.7405555555555554</v>
      </c>
      <c r="E430" s="1">
        <v>233</v>
      </c>
      <c r="F430" s="1">
        <v>233</v>
      </c>
      <c r="G430" s="100" t="s">
        <v>127</v>
      </c>
      <c r="H430" s="1" t="s">
        <v>325</v>
      </c>
      <c r="I430" s="100" t="s">
        <v>126</v>
      </c>
      <c r="J430" s="101" t="s">
        <v>128</v>
      </c>
    </row>
    <row r="431" spans="1:10">
      <c r="A431" s="81" t="s">
        <v>969</v>
      </c>
      <c r="C431" s="100">
        <v>67.311111111111117</v>
      </c>
      <c r="D431" s="100">
        <v>3.7405555555555554</v>
      </c>
      <c r="E431" s="1">
        <v>234.45</v>
      </c>
      <c r="F431" s="1">
        <v>234.45</v>
      </c>
      <c r="G431" s="100" t="s">
        <v>127</v>
      </c>
      <c r="H431" s="1" t="s">
        <v>325</v>
      </c>
      <c r="I431" s="100" t="s">
        <v>126</v>
      </c>
      <c r="J431" s="101" t="s">
        <v>128</v>
      </c>
    </row>
    <row r="432" spans="1:10">
      <c r="A432" s="81" t="s">
        <v>970</v>
      </c>
      <c r="C432" s="100">
        <v>67.311111111111117</v>
      </c>
      <c r="D432" s="100">
        <v>3.7405555555555554</v>
      </c>
      <c r="E432" s="1">
        <v>234.45</v>
      </c>
      <c r="F432" s="1">
        <v>234.45</v>
      </c>
      <c r="G432" s="100" t="s">
        <v>127</v>
      </c>
      <c r="H432" s="1" t="s">
        <v>325</v>
      </c>
      <c r="I432" s="100" t="s">
        <v>126</v>
      </c>
      <c r="J432" s="101" t="s">
        <v>128</v>
      </c>
    </row>
    <row r="433" spans="1:10">
      <c r="A433" s="81" t="s">
        <v>971</v>
      </c>
      <c r="C433" s="100">
        <v>67.311111111111117</v>
      </c>
      <c r="D433" s="100">
        <v>3.7405555555555554</v>
      </c>
      <c r="E433" s="1">
        <v>235.95</v>
      </c>
      <c r="F433" s="1">
        <v>235.95</v>
      </c>
      <c r="G433" s="100" t="s">
        <v>127</v>
      </c>
      <c r="H433" s="1" t="s">
        <v>325</v>
      </c>
      <c r="I433" s="100" t="s">
        <v>126</v>
      </c>
      <c r="J433" s="101" t="s">
        <v>128</v>
      </c>
    </row>
    <row r="434" spans="1:10">
      <c r="A434" s="81" t="s">
        <v>972</v>
      </c>
      <c r="C434" s="100">
        <v>67.311111111111117</v>
      </c>
      <c r="D434" s="100">
        <v>3.7405555555555554</v>
      </c>
      <c r="E434" s="1">
        <v>235.95</v>
      </c>
      <c r="F434" s="1">
        <v>235.95</v>
      </c>
      <c r="G434" s="100" t="s">
        <v>127</v>
      </c>
      <c r="H434" s="1" t="s">
        <v>325</v>
      </c>
      <c r="I434" s="100" t="s">
        <v>126</v>
      </c>
      <c r="J434" s="101" t="s">
        <v>128</v>
      </c>
    </row>
    <row r="435" spans="1:10">
      <c r="A435" s="81" t="s">
        <v>973</v>
      </c>
      <c r="C435" s="100">
        <v>67.311111111111117</v>
      </c>
      <c r="D435" s="100">
        <v>3.7405555555555554</v>
      </c>
      <c r="E435" s="1">
        <v>237.4</v>
      </c>
      <c r="F435" s="1">
        <v>237.4</v>
      </c>
      <c r="G435" s="100" t="s">
        <v>127</v>
      </c>
      <c r="H435" s="1" t="s">
        <v>325</v>
      </c>
      <c r="I435" s="100" t="s">
        <v>126</v>
      </c>
      <c r="J435" s="101" t="s">
        <v>128</v>
      </c>
    </row>
    <row r="436" spans="1:10">
      <c r="A436" s="81" t="s">
        <v>974</v>
      </c>
      <c r="C436" s="100">
        <v>67.311111111111117</v>
      </c>
      <c r="D436" s="100">
        <v>3.7405555555555554</v>
      </c>
      <c r="E436" s="1">
        <v>237.9</v>
      </c>
      <c r="F436" s="1">
        <v>237.9</v>
      </c>
      <c r="G436" s="100" t="s">
        <v>127</v>
      </c>
      <c r="H436" s="1" t="s">
        <v>325</v>
      </c>
      <c r="I436" s="100" t="s">
        <v>126</v>
      </c>
      <c r="J436" s="101" t="s">
        <v>128</v>
      </c>
    </row>
    <row r="437" spans="1:10">
      <c r="A437" s="81" t="s">
        <v>975</v>
      </c>
      <c r="C437" s="100">
        <v>67.311111111111117</v>
      </c>
      <c r="D437" s="100">
        <v>3.7405555555555554</v>
      </c>
      <c r="E437" s="1">
        <v>237.9</v>
      </c>
      <c r="F437" s="1">
        <v>237.9</v>
      </c>
      <c r="G437" s="100" t="s">
        <v>127</v>
      </c>
      <c r="H437" s="1" t="s">
        <v>325</v>
      </c>
      <c r="I437" s="100" t="s">
        <v>126</v>
      </c>
      <c r="J437" s="101" t="s">
        <v>128</v>
      </c>
    </row>
    <row r="438" spans="1:10">
      <c r="A438" s="81" t="s">
        <v>976</v>
      </c>
      <c r="C438" s="100">
        <v>67.311111111111117</v>
      </c>
      <c r="D438" s="100">
        <v>3.7405555555555554</v>
      </c>
      <c r="E438" s="1">
        <v>239.4</v>
      </c>
      <c r="F438" s="1">
        <v>239.4</v>
      </c>
      <c r="G438" s="100" t="s">
        <v>127</v>
      </c>
      <c r="H438" s="1" t="s">
        <v>325</v>
      </c>
      <c r="I438" s="100" t="s">
        <v>126</v>
      </c>
      <c r="J438" s="101" t="s">
        <v>128</v>
      </c>
    </row>
    <row r="439" spans="1:10">
      <c r="A439" s="81" t="s">
        <v>977</v>
      </c>
      <c r="C439" s="100">
        <v>67.311111111111117</v>
      </c>
      <c r="D439" s="100">
        <v>3.7405555555555554</v>
      </c>
      <c r="E439" s="1">
        <v>240.9</v>
      </c>
      <c r="F439" s="1">
        <v>240.9</v>
      </c>
      <c r="G439" s="100" t="s">
        <v>127</v>
      </c>
      <c r="H439" s="1" t="s">
        <v>325</v>
      </c>
      <c r="I439" s="100" t="s">
        <v>126</v>
      </c>
      <c r="J439" s="101" t="s">
        <v>128</v>
      </c>
    </row>
    <row r="440" spans="1:10">
      <c r="A440" t="s">
        <v>1080</v>
      </c>
      <c r="C440" s="100">
        <v>67.340277777777771</v>
      </c>
      <c r="D440" s="100">
        <v>3.6211111111111114</v>
      </c>
      <c r="E440" s="1">
        <v>209.17000000000002</v>
      </c>
      <c r="F440" s="1">
        <v>209.17000000000002</v>
      </c>
      <c r="G440" s="100" t="s">
        <v>127</v>
      </c>
      <c r="H440" s="1" t="s">
        <v>326</v>
      </c>
      <c r="I440" s="100" t="s">
        <v>126</v>
      </c>
      <c r="J440" s="101" t="s">
        <v>128</v>
      </c>
    </row>
    <row r="441" spans="1:10">
      <c r="A441" t="s">
        <v>1081</v>
      </c>
      <c r="C441" s="100">
        <v>67.340277777777771</v>
      </c>
      <c r="D441" s="100">
        <v>3.6211111111111114</v>
      </c>
      <c r="E441" s="1">
        <v>209.57000000000002</v>
      </c>
      <c r="F441" s="1">
        <v>209.57000000000002</v>
      </c>
      <c r="G441" s="100" t="s">
        <v>127</v>
      </c>
      <c r="H441" s="1" t="s">
        <v>326</v>
      </c>
      <c r="I441" s="100" t="s">
        <v>126</v>
      </c>
      <c r="J441" s="101" t="s">
        <v>128</v>
      </c>
    </row>
    <row r="442" spans="1:10">
      <c r="A442" t="s">
        <v>1082</v>
      </c>
      <c r="C442" s="100">
        <v>67.340277777777771</v>
      </c>
      <c r="D442" s="100">
        <v>3.6211111111111114</v>
      </c>
      <c r="E442" s="1">
        <v>209.85000000000002</v>
      </c>
      <c r="F442" s="1">
        <v>209.85000000000002</v>
      </c>
      <c r="G442" s="100" t="s">
        <v>127</v>
      </c>
      <c r="H442" s="1" t="s">
        <v>326</v>
      </c>
      <c r="I442" s="100" t="s">
        <v>126</v>
      </c>
      <c r="J442" s="101" t="s">
        <v>128</v>
      </c>
    </row>
    <row r="443" spans="1:10">
      <c r="A443" t="s">
        <v>1083</v>
      </c>
      <c r="C443" s="100">
        <v>67.340277777777771</v>
      </c>
      <c r="D443" s="100">
        <v>3.6211111111111114</v>
      </c>
      <c r="E443" s="1">
        <v>210.76999999999998</v>
      </c>
      <c r="F443" s="1">
        <v>210.76999999999998</v>
      </c>
      <c r="G443" s="100" t="s">
        <v>127</v>
      </c>
      <c r="H443" s="1" t="s">
        <v>326</v>
      </c>
      <c r="I443" s="100" t="s">
        <v>126</v>
      </c>
      <c r="J443" s="101" t="s">
        <v>128</v>
      </c>
    </row>
    <row r="444" spans="1:10">
      <c r="A444" t="s">
        <v>1084</v>
      </c>
      <c r="C444" s="100">
        <v>67.340277777777771</v>
      </c>
      <c r="D444" s="100">
        <v>3.6211111111111114</v>
      </c>
      <c r="E444" s="1">
        <v>212.14999999999998</v>
      </c>
      <c r="F444" s="1">
        <v>212.14999999999998</v>
      </c>
      <c r="G444" s="100" t="s">
        <v>127</v>
      </c>
      <c r="H444" s="1" t="s">
        <v>326</v>
      </c>
      <c r="I444" s="100" t="s">
        <v>126</v>
      </c>
      <c r="J444" s="101" t="s">
        <v>128</v>
      </c>
    </row>
    <row r="445" spans="1:10">
      <c r="A445" t="s">
        <v>1085</v>
      </c>
      <c r="C445" s="100">
        <v>67.340277777777771</v>
      </c>
      <c r="D445" s="100">
        <v>3.6211111111111114</v>
      </c>
      <c r="E445" s="1">
        <v>214.06</v>
      </c>
      <c r="F445" s="1">
        <v>214.06</v>
      </c>
      <c r="G445" s="100" t="s">
        <v>127</v>
      </c>
      <c r="H445" s="1" t="s">
        <v>326</v>
      </c>
      <c r="I445" s="100" t="s">
        <v>126</v>
      </c>
      <c r="J445" s="101" t="s">
        <v>128</v>
      </c>
    </row>
    <row r="446" spans="1:10">
      <c r="A446" t="s">
        <v>1086</v>
      </c>
      <c r="C446" s="100">
        <v>67.340277777777771</v>
      </c>
      <c r="D446" s="100">
        <v>3.6211111111111114</v>
      </c>
      <c r="E446" s="1">
        <v>215.12</v>
      </c>
      <c r="F446" s="1">
        <v>215.12</v>
      </c>
      <c r="G446" s="100" t="s">
        <v>127</v>
      </c>
      <c r="H446" s="1" t="s">
        <v>326</v>
      </c>
      <c r="I446" s="100" t="s">
        <v>126</v>
      </c>
      <c r="J446" s="101" t="s">
        <v>128</v>
      </c>
    </row>
    <row r="447" spans="1:10">
      <c r="A447" t="s">
        <v>1087</v>
      </c>
      <c r="C447" s="100">
        <v>67.340277777777771</v>
      </c>
      <c r="D447" s="100">
        <v>3.6211111111111114</v>
      </c>
      <c r="E447" s="1">
        <v>216.48</v>
      </c>
      <c r="F447" s="1">
        <v>216.48</v>
      </c>
      <c r="G447" s="100" t="s">
        <v>127</v>
      </c>
      <c r="H447" s="1" t="s">
        <v>326</v>
      </c>
      <c r="I447" s="100" t="s">
        <v>126</v>
      </c>
      <c r="J447" s="101" t="s">
        <v>128</v>
      </c>
    </row>
    <row r="448" spans="1:10">
      <c r="A448" t="s">
        <v>1088</v>
      </c>
      <c r="C448" s="100">
        <v>67.340277777777771</v>
      </c>
      <c r="D448" s="100">
        <v>3.6211111111111114</v>
      </c>
      <c r="E448" s="1">
        <v>217.61999999999998</v>
      </c>
      <c r="F448" s="1">
        <v>217.61999999999998</v>
      </c>
      <c r="G448" s="100" t="s">
        <v>127</v>
      </c>
      <c r="H448" s="1" t="s">
        <v>326</v>
      </c>
      <c r="I448" s="100" t="s">
        <v>126</v>
      </c>
      <c r="J448" s="101" t="s">
        <v>128</v>
      </c>
    </row>
    <row r="449" spans="1:10">
      <c r="A449" t="s">
        <v>1089</v>
      </c>
      <c r="C449" s="100">
        <v>67.340277777777771</v>
      </c>
      <c r="D449" s="100">
        <v>3.6211111111111114</v>
      </c>
      <c r="E449" s="1">
        <v>218.9</v>
      </c>
      <c r="F449" s="1">
        <v>218.9</v>
      </c>
      <c r="G449" s="100" t="s">
        <v>127</v>
      </c>
      <c r="H449" s="1" t="s">
        <v>326</v>
      </c>
      <c r="I449" s="100" t="s">
        <v>126</v>
      </c>
      <c r="J449" s="101" t="s">
        <v>128</v>
      </c>
    </row>
    <row r="450" spans="1:10">
      <c r="A450" t="s">
        <v>1090</v>
      </c>
      <c r="C450" s="100">
        <v>67.340277777777771</v>
      </c>
      <c r="D450" s="100">
        <v>3.6211111111111114</v>
      </c>
      <c r="E450" s="1">
        <v>219.95</v>
      </c>
      <c r="F450" s="1">
        <v>219.95</v>
      </c>
      <c r="G450" s="100" t="s">
        <v>127</v>
      </c>
      <c r="H450" s="1" t="s">
        <v>326</v>
      </c>
      <c r="I450" s="100" t="s">
        <v>126</v>
      </c>
      <c r="J450" s="101" t="s">
        <v>128</v>
      </c>
    </row>
    <row r="451" spans="1:10">
      <c r="A451" t="s">
        <v>1091</v>
      </c>
      <c r="C451" s="100">
        <v>67.340277777777771</v>
      </c>
      <c r="D451" s="100">
        <v>3.6211111111111114</v>
      </c>
      <c r="E451" s="1">
        <v>221.45</v>
      </c>
      <c r="F451" s="1">
        <v>221.45</v>
      </c>
      <c r="G451" s="100" t="s">
        <v>127</v>
      </c>
      <c r="H451" s="1" t="s">
        <v>326</v>
      </c>
      <c r="I451" s="100" t="s">
        <v>126</v>
      </c>
      <c r="J451" s="101" t="s">
        <v>128</v>
      </c>
    </row>
    <row r="452" spans="1:10">
      <c r="A452" t="s">
        <v>1092</v>
      </c>
      <c r="C452" s="100">
        <v>67.340277777777771</v>
      </c>
      <c r="D452" s="100">
        <v>3.6211111111111114</v>
      </c>
      <c r="E452" s="1">
        <v>222.68</v>
      </c>
      <c r="F452" s="1">
        <v>222.68</v>
      </c>
      <c r="G452" s="100" t="s">
        <v>127</v>
      </c>
      <c r="H452" s="1" t="s">
        <v>326</v>
      </c>
      <c r="I452" s="100" t="s">
        <v>126</v>
      </c>
      <c r="J452" s="101" t="s">
        <v>128</v>
      </c>
    </row>
    <row r="453" spans="1:10">
      <c r="A453" t="s">
        <v>1093</v>
      </c>
      <c r="C453" s="100">
        <v>67.340277777777771</v>
      </c>
      <c r="D453" s="100">
        <v>3.6211111111111114</v>
      </c>
      <c r="E453" s="1">
        <v>223.36</v>
      </c>
      <c r="F453" s="1">
        <v>223.36</v>
      </c>
      <c r="G453" s="100" t="s">
        <v>127</v>
      </c>
      <c r="H453" s="1" t="s">
        <v>326</v>
      </c>
      <c r="I453" s="100" t="s">
        <v>126</v>
      </c>
      <c r="J453" s="101" t="s">
        <v>128</v>
      </c>
    </row>
    <row r="454" spans="1:10">
      <c r="A454" t="s">
        <v>1094</v>
      </c>
      <c r="C454" s="100">
        <v>67.340277777777771</v>
      </c>
      <c r="D454" s="100">
        <v>3.6211111111111114</v>
      </c>
      <c r="E454" s="1">
        <v>223.61</v>
      </c>
      <c r="F454" s="1">
        <v>223.61</v>
      </c>
      <c r="G454" s="100" t="s">
        <v>127</v>
      </c>
      <c r="H454" s="1" t="s">
        <v>326</v>
      </c>
      <c r="I454" s="100" t="s">
        <v>126</v>
      </c>
      <c r="J454" s="101" t="s">
        <v>128</v>
      </c>
    </row>
    <row r="455" spans="1:10">
      <c r="A455" t="s">
        <v>1095</v>
      </c>
      <c r="C455" s="100">
        <v>67.340277777777771</v>
      </c>
      <c r="D455" s="100">
        <v>3.6211111111111114</v>
      </c>
      <c r="E455" s="1">
        <v>224.77</v>
      </c>
      <c r="F455" s="1">
        <v>224.77</v>
      </c>
      <c r="G455" s="100" t="s">
        <v>127</v>
      </c>
      <c r="H455" s="1" t="s">
        <v>326</v>
      </c>
      <c r="I455" s="100" t="s">
        <v>126</v>
      </c>
      <c r="J455" s="101" t="s">
        <v>128</v>
      </c>
    </row>
    <row r="456" spans="1:10">
      <c r="A456" t="s">
        <v>1096</v>
      </c>
      <c r="C456" s="100">
        <v>67.340277777777771</v>
      </c>
      <c r="D456" s="100">
        <v>3.6211111111111114</v>
      </c>
      <c r="E456" s="1">
        <v>226.05</v>
      </c>
      <c r="F456" s="1">
        <v>226.05</v>
      </c>
      <c r="G456" s="100" t="s">
        <v>127</v>
      </c>
      <c r="H456" s="1" t="s">
        <v>326</v>
      </c>
      <c r="I456" s="100" t="s">
        <v>126</v>
      </c>
      <c r="J456" s="101" t="s">
        <v>128</v>
      </c>
    </row>
    <row r="457" spans="1:10">
      <c r="A457" t="s">
        <v>1097</v>
      </c>
      <c r="C457" s="100">
        <v>67.340277777777771</v>
      </c>
      <c r="D457" s="100">
        <v>3.6211111111111114</v>
      </c>
      <c r="E457" s="1">
        <v>227.56</v>
      </c>
      <c r="F457" s="1">
        <v>227.56</v>
      </c>
      <c r="G457" s="100" t="s">
        <v>127</v>
      </c>
      <c r="H457" s="1" t="s">
        <v>326</v>
      </c>
      <c r="I457" s="100" t="s">
        <v>126</v>
      </c>
      <c r="J457" s="101" t="s">
        <v>128</v>
      </c>
    </row>
    <row r="458" spans="1:10">
      <c r="A458" t="s">
        <v>1098</v>
      </c>
      <c r="C458" s="100">
        <v>67.340277777777771</v>
      </c>
      <c r="D458" s="100">
        <v>3.6211111111111114</v>
      </c>
      <c r="E458" s="1">
        <f>226.86+0.85</f>
        <v>227.71</v>
      </c>
      <c r="F458" s="1">
        <f>226.86+0.85</f>
        <v>227.71</v>
      </c>
      <c r="G458" s="100" t="s">
        <v>127</v>
      </c>
      <c r="H458" s="1" t="s">
        <v>326</v>
      </c>
      <c r="I458" s="100" t="s">
        <v>126</v>
      </c>
      <c r="J458" s="101" t="s">
        <v>128</v>
      </c>
    </row>
    <row r="459" spans="1:10">
      <c r="A459" t="s">
        <v>1099</v>
      </c>
      <c r="C459" s="100">
        <v>67.340277777777771</v>
      </c>
      <c r="D459" s="100">
        <v>3.6211111111111114</v>
      </c>
      <c r="E459" s="1">
        <v>229.10000000000002</v>
      </c>
      <c r="F459" s="1">
        <v>229.10000000000002</v>
      </c>
      <c r="G459" s="100" t="s">
        <v>127</v>
      </c>
      <c r="H459" s="1" t="s">
        <v>326</v>
      </c>
      <c r="I459" s="100" t="s">
        <v>126</v>
      </c>
      <c r="J459" s="101" t="s">
        <v>128</v>
      </c>
    </row>
    <row r="460" spans="1:10">
      <c r="A460" t="s">
        <v>1100</v>
      </c>
      <c r="C460" s="100">
        <v>67.340277777777771</v>
      </c>
      <c r="D460" s="100">
        <v>3.6211111111111114</v>
      </c>
      <c r="E460" s="1">
        <v>230.44</v>
      </c>
      <c r="F460" s="1">
        <v>230.44</v>
      </c>
      <c r="G460" s="100" t="s">
        <v>127</v>
      </c>
      <c r="H460" s="1" t="s">
        <v>326</v>
      </c>
      <c r="I460" s="100" t="s">
        <v>126</v>
      </c>
      <c r="J460" s="101" t="s">
        <v>128</v>
      </c>
    </row>
    <row r="461" spans="1:10">
      <c r="A461" t="s">
        <v>1101</v>
      </c>
      <c r="C461" s="100">
        <v>67.340277777777771</v>
      </c>
      <c r="D461" s="100">
        <v>3.6211111111111114</v>
      </c>
      <c r="E461" s="1">
        <v>233.23</v>
      </c>
      <c r="F461" s="1">
        <v>233.23</v>
      </c>
      <c r="G461" s="100" t="s">
        <v>127</v>
      </c>
      <c r="H461" s="1" t="s">
        <v>326</v>
      </c>
      <c r="I461" s="100" t="s">
        <v>126</v>
      </c>
      <c r="J461" s="101" t="s">
        <v>128</v>
      </c>
    </row>
    <row r="462" spans="1:10">
      <c r="A462" t="s">
        <v>1102</v>
      </c>
      <c r="C462" s="100">
        <v>67.340277777777771</v>
      </c>
      <c r="D462" s="100">
        <v>3.6211111111111114</v>
      </c>
      <c r="E462" s="1">
        <v>238.94</v>
      </c>
      <c r="F462" s="1">
        <v>238.94</v>
      </c>
      <c r="G462" s="100" t="s">
        <v>127</v>
      </c>
      <c r="H462" s="1" t="s">
        <v>326</v>
      </c>
      <c r="I462" s="100" t="s">
        <v>126</v>
      </c>
      <c r="J462" s="101" t="s">
        <v>128</v>
      </c>
    </row>
    <row r="463" spans="1:10">
      <c r="A463" t="s">
        <v>1103</v>
      </c>
      <c r="C463" s="100">
        <v>67.340277777777771</v>
      </c>
      <c r="D463" s="100">
        <v>3.6211111111111114</v>
      </c>
      <c r="E463" s="1">
        <v>240.35</v>
      </c>
      <c r="F463" s="1">
        <v>240.35</v>
      </c>
      <c r="G463" s="100" t="s">
        <v>127</v>
      </c>
      <c r="H463" s="1" t="s">
        <v>326</v>
      </c>
      <c r="I463" s="100" t="s">
        <v>126</v>
      </c>
      <c r="J463" s="101" t="s">
        <v>128</v>
      </c>
    </row>
    <row r="464" spans="1:10">
      <c r="A464" t="s">
        <v>1104</v>
      </c>
      <c r="C464" s="100">
        <v>67.340277777777771</v>
      </c>
      <c r="D464" s="100">
        <v>3.6211111111111114</v>
      </c>
      <c r="E464" s="1">
        <v>241.35</v>
      </c>
      <c r="F464" s="1">
        <v>241.35</v>
      </c>
      <c r="G464" s="100" t="s">
        <v>127</v>
      </c>
      <c r="H464" s="1" t="s">
        <v>326</v>
      </c>
      <c r="I464" s="100" t="s">
        <v>126</v>
      </c>
      <c r="J464" s="101" t="s">
        <v>128</v>
      </c>
    </row>
    <row r="465" spans="1:10">
      <c r="A465" t="s">
        <v>1105</v>
      </c>
      <c r="C465" s="100">
        <v>67.340277777777771</v>
      </c>
      <c r="D465" s="100">
        <v>3.6211111111111114</v>
      </c>
      <c r="E465" s="1">
        <v>244.93</v>
      </c>
      <c r="F465" s="1">
        <v>244.93</v>
      </c>
      <c r="G465" s="100" t="s">
        <v>127</v>
      </c>
      <c r="H465" s="1" t="s">
        <v>326</v>
      </c>
      <c r="I465" s="100" t="s">
        <v>126</v>
      </c>
      <c r="J465" s="101" t="s">
        <v>128</v>
      </c>
    </row>
    <row r="466" spans="1:10">
      <c r="A466" t="s">
        <v>1106</v>
      </c>
      <c r="C466" s="100">
        <v>67.340277777777771</v>
      </c>
      <c r="D466" s="100">
        <v>3.6211111111111114</v>
      </c>
      <c r="E466" s="1">
        <v>247.95000000000002</v>
      </c>
      <c r="F466" s="1">
        <v>247.95000000000002</v>
      </c>
      <c r="G466" s="100" t="s">
        <v>127</v>
      </c>
      <c r="H466" s="1" t="s">
        <v>326</v>
      </c>
      <c r="I466" s="100" t="s">
        <v>126</v>
      </c>
      <c r="J466" s="101" t="s">
        <v>128</v>
      </c>
    </row>
    <row r="467" spans="1:10">
      <c r="A467" t="s">
        <v>1107</v>
      </c>
      <c r="C467" s="100">
        <v>67.340277777777771</v>
      </c>
      <c r="D467" s="100">
        <v>3.6211111111111114</v>
      </c>
      <c r="E467" s="1">
        <v>249.19</v>
      </c>
      <c r="F467" s="1">
        <v>249.19</v>
      </c>
      <c r="G467" s="100" t="s">
        <v>127</v>
      </c>
      <c r="H467" s="1" t="s">
        <v>326</v>
      </c>
      <c r="I467" s="100" t="s">
        <v>126</v>
      </c>
      <c r="J467" s="101" t="s">
        <v>128</v>
      </c>
    </row>
    <row r="468" spans="1:10">
      <c r="A468" t="s">
        <v>1108</v>
      </c>
      <c r="C468" s="100">
        <v>67.340277777777771</v>
      </c>
      <c r="D468" s="100">
        <v>3.6211111111111114</v>
      </c>
      <c r="E468" s="1">
        <v>249.94</v>
      </c>
      <c r="F468" s="1">
        <v>249.94</v>
      </c>
      <c r="G468" s="100" t="s">
        <v>127</v>
      </c>
      <c r="H468" s="1" t="s">
        <v>326</v>
      </c>
      <c r="I468" s="100" t="s">
        <v>126</v>
      </c>
      <c r="J468" s="101" t="s">
        <v>128</v>
      </c>
    </row>
    <row r="469" spans="1:10">
      <c r="A469" t="s">
        <v>1109</v>
      </c>
      <c r="C469" s="100">
        <v>67.340277777777771</v>
      </c>
      <c r="D469" s="100">
        <v>3.6211111111111114</v>
      </c>
      <c r="E469" s="1">
        <v>251.27</v>
      </c>
      <c r="F469" s="1">
        <v>251.27</v>
      </c>
      <c r="G469" s="100" t="s">
        <v>127</v>
      </c>
      <c r="H469" s="1" t="s">
        <v>326</v>
      </c>
      <c r="I469" s="100" t="s">
        <v>126</v>
      </c>
      <c r="J469" s="101" t="s">
        <v>128</v>
      </c>
    </row>
    <row r="470" spans="1:10">
      <c r="A470" t="s">
        <v>1110</v>
      </c>
      <c r="C470" s="100">
        <v>67.340277777777771</v>
      </c>
      <c r="D470" s="100">
        <v>3.6211111111111114</v>
      </c>
      <c r="E470" s="1">
        <v>253.41</v>
      </c>
      <c r="F470" s="1">
        <v>253.41</v>
      </c>
      <c r="G470" s="100" t="s">
        <v>127</v>
      </c>
      <c r="H470" s="1" t="s">
        <v>326</v>
      </c>
      <c r="I470" s="100" t="s">
        <v>126</v>
      </c>
      <c r="J470" s="101" t="s">
        <v>128</v>
      </c>
    </row>
    <row r="471" spans="1:10">
      <c r="A471" t="s">
        <v>1111</v>
      </c>
      <c r="C471" s="100">
        <v>67.340277777777771</v>
      </c>
      <c r="D471" s="100">
        <v>3.6211111111111114</v>
      </c>
      <c r="E471" s="1">
        <v>254.1</v>
      </c>
      <c r="F471" s="1">
        <v>254.1</v>
      </c>
      <c r="G471" s="100" t="s">
        <v>127</v>
      </c>
      <c r="H471" s="1" t="s">
        <v>326</v>
      </c>
      <c r="I471" s="100" t="s">
        <v>126</v>
      </c>
      <c r="J471" s="101" t="s">
        <v>128</v>
      </c>
    </row>
    <row r="472" spans="1:10">
      <c r="A472" t="s">
        <v>1112</v>
      </c>
      <c r="C472" s="100">
        <v>67.340277777777771</v>
      </c>
      <c r="D472" s="100">
        <v>3.6211111111111114</v>
      </c>
      <c r="E472" s="1">
        <v>255.79</v>
      </c>
      <c r="F472" s="1">
        <v>255.79</v>
      </c>
      <c r="G472" s="100" t="s">
        <v>127</v>
      </c>
      <c r="H472" s="1" t="s">
        <v>326</v>
      </c>
      <c r="I472" s="100" t="s">
        <v>126</v>
      </c>
      <c r="J472" s="101" t="s">
        <v>128</v>
      </c>
    </row>
    <row r="473" spans="1:10">
      <c r="A473" t="s">
        <v>1113</v>
      </c>
      <c r="C473" s="100">
        <v>67.340277777777771</v>
      </c>
      <c r="D473" s="100">
        <v>3.6211111111111114</v>
      </c>
      <c r="E473" s="1">
        <v>257.26</v>
      </c>
      <c r="F473" s="1">
        <v>257.26</v>
      </c>
      <c r="G473" s="100" t="s">
        <v>127</v>
      </c>
      <c r="H473" s="1" t="s">
        <v>326</v>
      </c>
      <c r="I473" s="100" t="s">
        <v>126</v>
      </c>
      <c r="J473" s="101" t="s">
        <v>128</v>
      </c>
    </row>
    <row r="474" spans="1:10">
      <c r="A474" t="s">
        <v>1114</v>
      </c>
      <c r="C474" s="100">
        <v>67.340277777777771</v>
      </c>
      <c r="D474" s="100">
        <v>3.6211111111111114</v>
      </c>
      <c r="E474" s="1">
        <v>257.64</v>
      </c>
      <c r="F474" s="1">
        <v>257.64</v>
      </c>
      <c r="G474" s="100" t="s">
        <v>127</v>
      </c>
      <c r="H474" s="1" t="s">
        <v>326</v>
      </c>
      <c r="I474" s="100" t="s">
        <v>126</v>
      </c>
      <c r="J474" s="101" t="s">
        <v>128</v>
      </c>
    </row>
    <row r="475" spans="1:10">
      <c r="A475" t="s">
        <v>1115</v>
      </c>
      <c r="C475" s="100">
        <v>67.340277777777771</v>
      </c>
      <c r="D475" s="100">
        <v>3.6211111111111114</v>
      </c>
      <c r="E475" s="1">
        <v>258.51</v>
      </c>
      <c r="F475" s="1">
        <v>258.51</v>
      </c>
      <c r="G475" s="100" t="s">
        <v>127</v>
      </c>
      <c r="H475" s="1" t="s">
        <v>326</v>
      </c>
      <c r="I475" s="100" t="s">
        <v>126</v>
      </c>
      <c r="J475" s="101" t="s">
        <v>128</v>
      </c>
    </row>
    <row r="476" spans="1:10">
      <c r="A476" t="s">
        <v>1116</v>
      </c>
      <c r="C476" s="100">
        <v>67.340277777777771</v>
      </c>
      <c r="D476" s="100">
        <v>3.6211111111111114</v>
      </c>
      <c r="E476" s="1">
        <v>260</v>
      </c>
      <c r="F476" s="1">
        <v>260</v>
      </c>
      <c r="G476" s="100" t="s">
        <v>127</v>
      </c>
      <c r="H476" s="1" t="s">
        <v>326</v>
      </c>
      <c r="I476" s="100" t="s">
        <v>126</v>
      </c>
      <c r="J476" s="101" t="s">
        <v>128</v>
      </c>
    </row>
    <row r="477" spans="1:10">
      <c r="A477" t="s">
        <v>1117</v>
      </c>
      <c r="C477" s="100">
        <v>67.340277777777771</v>
      </c>
      <c r="D477" s="100">
        <v>3.6211111111111114</v>
      </c>
      <c r="E477" s="1">
        <v>261.65999999999997</v>
      </c>
      <c r="F477" s="1">
        <v>261.65999999999997</v>
      </c>
      <c r="G477" s="100" t="s">
        <v>127</v>
      </c>
      <c r="H477" s="1" t="s">
        <v>326</v>
      </c>
      <c r="I477" s="100" t="s">
        <v>126</v>
      </c>
      <c r="J477" s="101" t="s">
        <v>128</v>
      </c>
    </row>
    <row r="478" spans="1:10">
      <c r="A478" t="s">
        <v>1118</v>
      </c>
      <c r="C478" s="100">
        <v>67.340277777777771</v>
      </c>
      <c r="D478" s="100">
        <v>3.6211111111111114</v>
      </c>
      <c r="E478" s="1">
        <v>262.25</v>
      </c>
      <c r="F478" s="1">
        <v>262.25</v>
      </c>
      <c r="G478" s="100" t="s">
        <v>127</v>
      </c>
      <c r="H478" s="1" t="s">
        <v>326</v>
      </c>
      <c r="I478" s="100" t="s">
        <v>126</v>
      </c>
      <c r="J478" s="101" t="s">
        <v>128</v>
      </c>
    </row>
    <row r="479" spans="1:10">
      <c r="A479" t="s">
        <v>1119</v>
      </c>
      <c r="C479" s="100">
        <v>67.340277777777771</v>
      </c>
      <c r="D479" s="100">
        <v>3.6211111111111114</v>
      </c>
      <c r="E479" s="1">
        <v>263.13</v>
      </c>
      <c r="F479" s="1">
        <v>263.13</v>
      </c>
      <c r="G479" s="100" t="s">
        <v>127</v>
      </c>
      <c r="H479" s="1" t="s">
        <v>326</v>
      </c>
      <c r="I479" s="100" t="s">
        <v>126</v>
      </c>
      <c r="J479" s="101" t="s">
        <v>128</v>
      </c>
    </row>
    <row r="480" spans="1:10">
      <c r="A480" t="s">
        <v>1120</v>
      </c>
      <c r="C480" s="100">
        <v>67.340277777777771</v>
      </c>
      <c r="D480" s="100">
        <v>3.6211111111111114</v>
      </c>
      <c r="E480" s="1">
        <v>264.31</v>
      </c>
      <c r="F480" s="1">
        <v>264.31</v>
      </c>
      <c r="G480" s="100" t="s">
        <v>127</v>
      </c>
      <c r="H480" s="1" t="s">
        <v>326</v>
      </c>
      <c r="I480" s="100" t="s">
        <v>126</v>
      </c>
      <c r="J480" s="101" t="s">
        <v>128</v>
      </c>
    </row>
    <row r="481" spans="1:10">
      <c r="A481" t="s">
        <v>1121</v>
      </c>
      <c r="C481" s="100">
        <v>67.340277777777771</v>
      </c>
      <c r="D481" s="100">
        <v>3.6211111111111114</v>
      </c>
      <c r="E481" s="1">
        <v>265.72000000000003</v>
      </c>
      <c r="F481" s="1">
        <v>265.72000000000003</v>
      </c>
      <c r="G481" s="100" t="s">
        <v>127</v>
      </c>
      <c r="H481" s="1" t="s">
        <v>326</v>
      </c>
      <c r="I481" s="100" t="s">
        <v>126</v>
      </c>
      <c r="J481" s="101" t="s">
        <v>128</v>
      </c>
    </row>
    <row r="482" spans="1:10">
      <c r="A482" t="s">
        <v>1122</v>
      </c>
      <c r="C482" s="100">
        <v>67.340277777777771</v>
      </c>
      <c r="D482" s="100">
        <v>3.6211111111111114</v>
      </c>
      <c r="E482" s="1">
        <v>266.70999999999998</v>
      </c>
      <c r="F482" s="1">
        <v>266.70999999999998</v>
      </c>
      <c r="G482" s="100" t="s">
        <v>127</v>
      </c>
      <c r="H482" s="1" t="s">
        <v>326</v>
      </c>
      <c r="I482" s="100" t="s">
        <v>126</v>
      </c>
      <c r="J482" s="101" t="s">
        <v>128</v>
      </c>
    </row>
    <row r="483" spans="1:10">
      <c r="A483" t="s">
        <v>1123</v>
      </c>
      <c r="C483" s="100">
        <v>67.340277777777771</v>
      </c>
      <c r="D483" s="100">
        <v>3.6211111111111114</v>
      </c>
      <c r="E483" s="1">
        <v>267.64999999999998</v>
      </c>
      <c r="F483" s="1">
        <v>267.64999999999998</v>
      </c>
      <c r="G483" s="100" t="s">
        <v>127</v>
      </c>
      <c r="H483" s="1" t="s">
        <v>326</v>
      </c>
      <c r="I483" s="100" t="s">
        <v>126</v>
      </c>
      <c r="J483" s="101" t="s">
        <v>128</v>
      </c>
    </row>
    <row r="484" spans="1:10">
      <c r="A484" t="s">
        <v>1124</v>
      </c>
      <c r="C484" s="100">
        <v>67.340277777777771</v>
      </c>
      <c r="D484" s="100">
        <v>3.6211111111111114</v>
      </c>
      <c r="E484" s="1">
        <v>269.10000000000002</v>
      </c>
      <c r="F484" s="1">
        <v>269.10000000000002</v>
      </c>
      <c r="G484" s="100" t="s">
        <v>127</v>
      </c>
      <c r="H484" s="1" t="s">
        <v>326</v>
      </c>
      <c r="I484" s="100" t="s">
        <v>126</v>
      </c>
      <c r="J484" s="101" t="s">
        <v>128</v>
      </c>
    </row>
    <row r="485" spans="1:10">
      <c r="A485" t="s">
        <v>1125</v>
      </c>
      <c r="C485" s="100">
        <v>67.340277777777771</v>
      </c>
      <c r="D485" s="100">
        <v>3.6211111111111114</v>
      </c>
      <c r="E485" s="1">
        <v>270.58</v>
      </c>
      <c r="F485" s="1">
        <v>270.58</v>
      </c>
      <c r="G485" s="100" t="s">
        <v>127</v>
      </c>
      <c r="H485" s="1" t="s">
        <v>326</v>
      </c>
      <c r="I485" s="100" t="s">
        <v>126</v>
      </c>
      <c r="J485" s="101" t="s">
        <v>128</v>
      </c>
    </row>
    <row r="486" spans="1:10">
      <c r="A486" t="s">
        <v>1126</v>
      </c>
      <c r="C486" s="100">
        <v>67.340277777777771</v>
      </c>
      <c r="D486" s="100">
        <v>3.6211111111111114</v>
      </c>
      <c r="E486" s="1">
        <v>272.45000000000005</v>
      </c>
      <c r="F486" s="1">
        <v>272.45000000000005</v>
      </c>
      <c r="G486" s="100" t="s">
        <v>127</v>
      </c>
      <c r="H486" s="1" t="s">
        <v>326</v>
      </c>
      <c r="I486" s="100" t="s">
        <v>126</v>
      </c>
      <c r="J486" s="101" t="s">
        <v>128</v>
      </c>
    </row>
    <row r="487" spans="1:10">
      <c r="A487" t="s">
        <v>1127</v>
      </c>
      <c r="C487" s="100">
        <v>67.340277777777771</v>
      </c>
      <c r="D487" s="100">
        <v>3.6211111111111114</v>
      </c>
      <c r="E487" s="1">
        <v>273.96999999999997</v>
      </c>
      <c r="F487" s="1">
        <v>273.96999999999997</v>
      </c>
      <c r="G487" s="100" t="s">
        <v>127</v>
      </c>
      <c r="H487" s="1" t="s">
        <v>326</v>
      </c>
      <c r="I487" s="100" t="s">
        <v>126</v>
      </c>
      <c r="J487" s="101" t="s">
        <v>128</v>
      </c>
    </row>
    <row r="488" spans="1:10">
      <c r="A488" t="s">
        <v>1128</v>
      </c>
      <c r="C488" s="100">
        <v>67.340277777777771</v>
      </c>
      <c r="D488" s="100">
        <v>3.6211111111111114</v>
      </c>
      <c r="E488" s="1">
        <v>274.47000000000003</v>
      </c>
      <c r="F488" s="1">
        <v>274.47000000000003</v>
      </c>
      <c r="G488" s="100" t="s">
        <v>127</v>
      </c>
      <c r="H488" s="1" t="s">
        <v>326</v>
      </c>
      <c r="I488" s="100" t="s">
        <v>126</v>
      </c>
      <c r="J488" s="101" t="s">
        <v>128</v>
      </c>
    </row>
    <row r="489" spans="1:10">
      <c r="A489" t="s">
        <v>1129</v>
      </c>
      <c r="C489" s="100">
        <v>67.340277777777771</v>
      </c>
      <c r="D489" s="100">
        <v>3.6211111111111114</v>
      </c>
      <c r="E489" s="1">
        <v>277.06</v>
      </c>
      <c r="F489" s="1">
        <v>277.06</v>
      </c>
      <c r="G489" s="100" t="s">
        <v>127</v>
      </c>
      <c r="H489" s="1" t="s">
        <v>326</v>
      </c>
      <c r="I489" s="100" t="s">
        <v>126</v>
      </c>
      <c r="J489" s="101" t="s">
        <v>128</v>
      </c>
    </row>
    <row r="490" spans="1:10">
      <c r="A490" t="s">
        <v>1130</v>
      </c>
      <c r="C490" s="100">
        <v>67.340277777777771</v>
      </c>
      <c r="D490" s="100">
        <v>3.6211111111111114</v>
      </c>
      <c r="E490" s="1">
        <v>279.05</v>
      </c>
      <c r="F490" s="1">
        <v>279.05</v>
      </c>
      <c r="G490" s="100" t="s">
        <v>127</v>
      </c>
      <c r="H490" s="1" t="s">
        <v>326</v>
      </c>
      <c r="I490" s="100" t="s">
        <v>126</v>
      </c>
      <c r="J490" s="101" t="s">
        <v>128</v>
      </c>
    </row>
    <row r="491" spans="1:10">
      <c r="A491" t="s">
        <v>1131</v>
      </c>
      <c r="C491" s="100">
        <v>67.340277777777771</v>
      </c>
      <c r="D491" s="100">
        <v>3.6211111111111114</v>
      </c>
      <c r="E491" s="1">
        <v>280.26000000000005</v>
      </c>
      <c r="F491" s="1">
        <v>280.26000000000005</v>
      </c>
      <c r="G491" s="100" t="s">
        <v>127</v>
      </c>
      <c r="H491" s="1" t="s">
        <v>326</v>
      </c>
      <c r="I491" s="100" t="s">
        <v>126</v>
      </c>
      <c r="J491" s="101" t="s">
        <v>128</v>
      </c>
    </row>
    <row r="492" spans="1:10">
      <c r="A492" t="s">
        <v>1132</v>
      </c>
      <c r="C492" s="100">
        <v>67.340277777777771</v>
      </c>
      <c r="D492" s="100">
        <v>3.6211111111111114</v>
      </c>
      <c r="E492" s="1">
        <v>282.96999999999997</v>
      </c>
      <c r="F492" s="1">
        <v>282.96999999999997</v>
      </c>
      <c r="G492" s="100" t="s">
        <v>127</v>
      </c>
      <c r="H492" s="1" t="s">
        <v>326</v>
      </c>
      <c r="I492" s="100" t="s">
        <v>126</v>
      </c>
      <c r="J492" s="101" t="s">
        <v>128</v>
      </c>
    </row>
    <row r="493" spans="1:10">
      <c r="A493" t="s">
        <v>1133</v>
      </c>
      <c r="C493" s="100">
        <v>67.340277777777771</v>
      </c>
      <c r="D493" s="100">
        <v>3.6211111111111114</v>
      </c>
      <c r="E493" s="1">
        <v>284.57000000000005</v>
      </c>
      <c r="F493" s="1">
        <v>284.57000000000005</v>
      </c>
      <c r="G493" s="100" t="s">
        <v>127</v>
      </c>
      <c r="H493" s="1" t="s">
        <v>326</v>
      </c>
      <c r="I493" s="100" t="s">
        <v>126</v>
      </c>
      <c r="J493" s="101" t="s">
        <v>128</v>
      </c>
    </row>
    <row r="494" spans="1:10">
      <c r="A494" t="s">
        <v>1134</v>
      </c>
      <c r="C494" s="100">
        <v>67.340277777777771</v>
      </c>
      <c r="D494" s="100">
        <v>3.6211111111111114</v>
      </c>
      <c r="E494" s="1">
        <v>285.48</v>
      </c>
      <c r="F494" s="1">
        <v>285.48</v>
      </c>
      <c r="G494" s="100" t="s">
        <v>127</v>
      </c>
      <c r="H494" s="1" t="s">
        <v>326</v>
      </c>
      <c r="I494" s="100" t="s">
        <v>126</v>
      </c>
      <c r="J494" s="101" t="s">
        <v>128</v>
      </c>
    </row>
    <row r="495" spans="1:10">
      <c r="A495" t="s">
        <v>1135</v>
      </c>
      <c r="C495" s="100">
        <v>67.340277777777771</v>
      </c>
      <c r="D495" s="100">
        <v>3.6211111111111114</v>
      </c>
      <c r="E495" s="1">
        <v>286.17</v>
      </c>
      <c r="F495" s="1">
        <v>286.17</v>
      </c>
      <c r="G495" s="100" t="s">
        <v>127</v>
      </c>
      <c r="H495" s="1" t="s">
        <v>326</v>
      </c>
      <c r="I495" s="100" t="s">
        <v>126</v>
      </c>
      <c r="J495" s="101" t="s">
        <v>128</v>
      </c>
    </row>
    <row r="496" spans="1:10">
      <c r="A496" t="s">
        <v>1136</v>
      </c>
      <c r="C496" s="100">
        <v>67.340277777777771</v>
      </c>
      <c r="D496" s="100">
        <v>3.6211111111111114</v>
      </c>
      <c r="E496" s="1">
        <v>287.33</v>
      </c>
      <c r="F496" s="1">
        <v>287.33</v>
      </c>
      <c r="G496" s="100" t="s">
        <v>127</v>
      </c>
      <c r="H496" s="1" t="s">
        <v>326</v>
      </c>
      <c r="I496" s="100" t="s">
        <v>126</v>
      </c>
      <c r="J496" s="101" t="s">
        <v>128</v>
      </c>
    </row>
    <row r="497" spans="1:10">
      <c r="A497" t="s">
        <v>1137</v>
      </c>
      <c r="C497" s="100">
        <v>67.340277777777771</v>
      </c>
      <c r="D497" s="100">
        <v>3.6211111111111114</v>
      </c>
      <c r="E497" s="1">
        <v>288.76</v>
      </c>
      <c r="F497" s="1">
        <v>288.76</v>
      </c>
      <c r="G497" s="100" t="s">
        <v>127</v>
      </c>
      <c r="H497" s="1" t="s">
        <v>326</v>
      </c>
      <c r="I497" s="100" t="s">
        <v>126</v>
      </c>
      <c r="J497" s="101" t="s">
        <v>128</v>
      </c>
    </row>
    <row r="498" spans="1:10">
      <c r="A498" t="s">
        <v>1138</v>
      </c>
      <c r="C498" s="100">
        <v>67.340277777777771</v>
      </c>
      <c r="D498" s="100">
        <v>3.6211111111111114</v>
      </c>
      <c r="E498" s="1">
        <v>290.39</v>
      </c>
      <c r="F498" s="1">
        <v>290.39</v>
      </c>
      <c r="G498" s="100" t="s">
        <v>127</v>
      </c>
      <c r="H498" s="1" t="s">
        <v>326</v>
      </c>
      <c r="I498" s="100" t="s">
        <v>126</v>
      </c>
      <c r="J498" s="101" t="s">
        <v>128</v>
      </c>
    </row>
    <row r="499" spans="1:10">
      <c r="A499" t="s">
        <v>1139</v>
      </c>
      <c r="C499" s="100">
        <v>67.340277777777771</v>
      </c>
      <c r="D499" s="100">
        <v>3.6211111111111114</v>
      </c>
      <c r="E499" s="1">
        <v>290.56</v>
      </c>
      <c r="F499" s="1">
        <v>290.56</v>
      </c>
      <c r="G499" s="100" t="s">
        <v>127</v>
      </c>
      <c r="H499" s="1" t="s">
        <v>326</v>
      </c>
      <c r="I499" s="100" t="s">
        <v>126</v>
      </c>
      <c r="J499" s="101" t="s">
        <v>128</v>
      </c>
    </row>
    <row r="500" spans="1:10">
      <c r="A500" t="s">
        <v>1140</v>
      </c>
      <c r="C500" s="100">
        <v>67.340277777777771</v>
      </c>
      <c r="D500" s="100">
        <v>3.6211111111111114</v>
      </c>
      <c r="E500" s="1">
        <v>292.72000000000003</v>
      </c>
      <c r="F500" s="1">
        <v>292.72000000000003</v>
      </c>
      <c r="G500" s="100" t="s">
        <v>127</v>
      </c>
      <c r="H500" s="1" t="s">
        <v>326</v>
      </c>
      <c r="I500" s="100" t="s">
        <v>126</v>
      </c>
      <c r="J500" s="101" t="s">
        <v>128</v>
      </c>
    </row>
    <row r="501" spans="1:10">
      <c r="A501" t="s">
        <v>1141</v>
      </c>
      <c r="C501" s="100">
        <v>67.340277777777771</v>
      </c>
      <c r="D501" s="100">
        <v>3.6211111111111114</v>
      </c>
      <c r="E501" s="1">
        <v>294.16000000000003</v>
      </c>
      <c r="F501" s="1">
        <v>294.16000000000003</v>
      </c>
      <c r="G501" s="100" t="s">
        <v>127</v>
      </c>
      <c r="H501" s="1" t="s">
        <v>326</v>
      </c>
      <c r="I501" s="100" t="s">
        <v>126</v>
      </c>
      <c r="J501" s="101" t="s">
        <v>128</v>
      </c>
    </row>
    <row r="502" spans="1:10">
      <c r="A502" t="s">
        <v>1142</v>
      </c>
      <c r="C502" s="100">
        <v>67.340277777777771</v>
      </c>
      <c r="D502" s="100">
        <v>3.6211111111111114</v>
      </c>
      <c r="E502" s="1">
        <v>295.43</v>
      </c>
      <c r="F502" s="1">
        <v>295.43</v>
      </c>
      <c r="G502" s="100" t="s">
        <v>127</v>
      </c>
      <c r="H502" s="1" t="s">
        <v>326</v>
      </c>
      <c r="I502" s="100" t="s">
        <v>126</v>
      </c>
      <c r="J502" s="101" t="s">
        <v>128</v>
      </c>
    </row>
    <row r="503" spans="1:10">
      <c r="A503" t="s">
        <v>1143</v>
      </c>
      <c r="C503" s="100">
        <v>67.340277777777771</v>
      </c>
      <c r="D503" s="100">
        <v>3.6211111111111114</v>
      </c>
      <c r="E503" s="1">
        <v>297.51</v>
      </c>
      <c r="F503" s="1">
        <v>297.51</v>
      </c>
      <c r="G503" s="100" t="s">
        <v>127</v>
      </c>
      <c r="H503" s="1" t="s">
        <v>326</v>
      </c>
      <c r="I503" s="100" t="s">
        <v>126</v>
      </c>
      <c r="J503" s="101" t="s">
        <v>128</v>
      </c>
    </row>
    <row r="504" spans="1:10">
      <c r="A504" t="s">
        <v>1144</v>
      </c>
      <c r="C504" s="100">
        <v>67.340277777777771</v>
      </c>
      <c r="D504" s="100">
        <v>3.6211111111111114</v>
      </c>
      <c r="E504" s="1">
        <v>298.59999999999997</v>
      </c>
      <c r="F504" s="1">
        <v>298.59999999999997</v>
      </c>
      <c r="G504" s="100" t="s">
        <v>127</v>
      </c>
      <c r="H504" s="1" t="s">
        <v>326</v>
      </c>
      <c r="I504" s="100" t="s">
        <v>126</v>
      </c>
      <c r="J504" s="101" t="s">
        <v>128</v>
      </c>
    </row>
    <row r="505" spans="1:10">
      <c r="A505" t="s">
        <v>1145</v>
      </c>
      <c r="C505" s="100">
        <v>67.340277777777771</v>
      </c>
      <c r="D505" s="100">
        <v>3.6211111111111114</v>
      </c>
      <c r="E505" s="1">
        <v>300.44</v>
      </c>
      <c r="F505" s="1">
        <v>300.44</v>
      </c>
      <c r="G505" s="100" t="s">
        <v>127</v>
      </c>
      <c r="H505" s="1" t="s">
        <v>326</v>
      </c>
      <c r="I505" s="100" t="s">
        <v>126</v>
      </c>
      <c r="J505" s="101" t="s">
        <v>128</v>
      </c>
    </row>
    <row r="506" spans="1:10">
      <c r="A506" t="s">
        <v>1146</v>
      </c>
      <c r="C506" s="100">
        <v>67.340277777777771</v>
      </c>
      <c r="D506" s="100">
        <v>3.6211111111111114</v>
      </c>
      <c r="E506" s="1">
        <v>300.57</v>
      </c>
      <c r="F506" s="1">
        <v>300.57</v>
      </c>
      <c r="G506" s="100" t="s">
        <v>127</v>
      </c>
      <c r="H506" s="1" t="s">
        <v>326</v>
      </c>
      <c r="I506" s="100" t="s">
        <v>126</v>
      </c>
      <c r="J506" s="101" t="s">
        <v>128</v>
      </c>
    </row>
    <row r="507" spans="1:10">
      <c r="A507" t="s">
        <v>1147</v>
      </c>
      <c r="C507" s="100">
        <v>67.340277777777771</v>
      </c>
      <c r="D507" s="100">
        <v>3.6211111111111114</v>
      </c>
      <c r="E507" s="1">
        <v>301.87</v>
      </c>
      <c r="F507" s="1">
        <v>301.87</v>
      </c>
      <c r="G507" s="100" t="s">
        <v>127</v>
      </c>
      <c r="H507" s="1" t="s">
        <v>326</v>
      </c>
      <c r="I507" s="100" t="s">
        <v>126</v>
      </c>
      <c r="J507" s="101" t="s">
        <v>128</v>
      </c>
    </row>
    <row r="508" spans="1:10">
      <c r="A508" t="s">
        <v>1148</v>
      </c>
      <c r="C508" s="100">
        <v>67.340277777777771</v>
      </c>
      <c r="D508" s="100">
        <v>3.6211111111111114</v>
      </c>
      <c r="E508" s="1">
        <v>303.53000000000003</v>
      </c>
      <c r="F508" s="1">
        <v>303.53000000000003</v>
      </c>
      <c r="G508" s="100" t="s">
        <v>127</v>
      </c>
      <c r="H508" s="1" t="s">
        <v>326</v>
      </c>
      <c r="I508" s="100" t="s">
        <v>126</v>
      </c>
      <c r="J508" s="101" t="s">
        <v>128</v>
      </c>
    </row>
    <row r="509" spans="1:10">
      <c r="A509" t="s">
        <v>1149</v>
      </c>
      <c r="C509" s="100">
        <v>67.340277777777771</v>
      </c>
      <c r="D509" s="100">
        <v>3.6211111111111114</v>
      </c>
      <c r="E509" s="1">
        <v>304.43</v>
      </c>
      <c r="F509" s="1">
        <v>304.43</v>
      </c>
      <c r="G509" s="100" t="s">
        <v>127</v>
      </c>
      <c r="H509" s="1" t="s">
        <v>326</v>
      </c>
      <c r="I509" s="100" t="s">
        <v>126</v>
      </c>
      <c r="J509" s="101" t="s">
        <v>128</v>
      </c>
    </row>
    <row r="510" spans="1:10">
      <c r="A510" t="s">
        <v>1150</v>
      </c>
      <c r="C510" s="100">
        <v>67.340277777777771</v>
      </c>
      <c r="D510" s="100">
        <v>3.6211111111111114</v>
      </c>
      <c r="E510" s="1">
        <v>305.81</v>
      </c>
      <c r="F510" s="1">
        <v>305.81</v>
      </c>
      <c r="G510" s="100" t="s">
        <v>127</v>
      </c>
      <c r="H510" s="1" t="s">
        <v>326</v>
      </c>
      <c r="I510" s="100" t="s">
        <v>126</v>
      </c>
      <c r="J510" s="101" t="s">
        <v>128</v>
      </c>
    </row>
    <row r="511" spans="1:10">
      <c r="A511" t="s">
        <v>1151</v>
      </c>
      <c r="C511" s="100">
        <v>67.340277777777771</v>
      </c>
      <c r="D511" s="100">
        <v>3.6211111111111114</v>
      </c>
      <c r="E511" s="1">
        <v>306.76000000000005</v>
      </c>
      <c r="F511" s="1">
        <v>306.76000000000005</v>
      </c>
      <c r="G511" s="100" t="s">
        <v>127</v>
      </c>
      <c r="H511" s="1" t="s">
        <v>326</v>
      </c>
      <c r="I511" s="100" t="s">
        <v>126</v>
      </c>
      <c r="J511" s="101" t="s">
        <v>128</v>
      </c>
    </row>
    <row r="512" spans="1:10">
      <c r="A512" t="s">
        <v>1152</v>
      </c>
      <c r="C512" s="100">
        <v>67.340277777777771</v>
      </c>
      <c r="D512" s="100">
        <v>3.6211111111111114</v>
      </c>
      <c r="E512" s="1">
        <v>307.58999999999997</v>
      </c>
      <c r="F512" s="1">
        <v>307.58999999999997</v>
      </c>
      <c r="G512" s="100" t="s">
        <v>127</v>
      </c>
      <c r="H512" s="1" t="s">
        <v>326</v>
      </c>
      <c r="I512" s="100" t="s">
        <v>126</v>
      </c>
      <c r="J512" s="101" t="s">
        <v>128</v>
      </c>
    </row>
    <row r="513" spans="1:10">
      <c r="A513" t="s">
        <v>1153</v>
      </c>
      <c r="C513" s="100">
        <v>67.340277777777771</v>
      </c>
      <c r="D513" s="100">
        <v>3.6211111111111114</v>
      </c>
      <c r="E513" s="1">
        <v>308.96000000000004</v>
      </c>
      <c r="F513" s="1">
        <v>308.96000000000004</v>
      </c>
      <c r="G513" s="100" t="s">
        <v>127</v>
      </c>
      <c r="H513" s="1" t="s">
        <v>326</v>
      </c>
      <c r="I513" s="100" t="s">
        <v>126</v>
      </c>
      <c r="J513" s="101" t="s">
        <v>128</v>
      </c>
    </row>
    <row r="514" spans="1:10">
      <c r="A514" t="s">
        <v>1154</v>
      </c>
      <c r="C514" s="100">
        <v>67.340277777777771</v>
      </c>
      <c r="D514" s="100">
        <v>3.6211111111111114</v>
      </c>
      <c r="E514" s="1">
        <v>309.67</v>
      </c>
      <c r="F514" s="1">
        <v>309.67</v>
      </c>
      <c r="G514" s="100" t="s">
        <v>127</v>
      </c>
      <c r="H514" s="1" t="s">
        <v>326</v>
      </c>
      <c r="I514" s="100" t="s">
        <v>126</v>
      </c>
      <c r="J514" s="101" t="s">
        <v>128</v>
      </c>
    </row>
    <row r="515" spans="1:10">
      <c r="A515" t="s">
        <v>1155</v>
      </c>
      <c r="C515" s="100">
        <v>67.340277777777771</v>
      </c>
      <c r="D515" s="100">
        <v>3.6211111111111114</v>
      </c>
      <c r="E515" s="1">
        <v>311.14</v>
      </c>
      <c r="F515" s="1">
        <v>311.14</v>
      </c>
      <c r="G515" s="100" t="s">
        <v>127</v>
      </c>
      <c r="H515" s="1" t="s">
        <v>326</v>
      </c>
      <c r="I515" s="100" t="s">
        <v>126</v>
      </c>
      <c r="J515" s="101" t="s">
        <v>128</v>
      </c>
    </row>
    <row r="516" spans="1:10">
      <c r="A516" t="s">
        <v>1156</v>
      </c>
      <c r="C516" s="100">
        <v>67.340277777777771</v>
      </c>
      <c r="D516" s="100">
        <v>3.6211111111111114</v>
      </c>
      <c r="E516" s="1">
        <v>313.18</v>
      </c>
      <c r="F516" s="1">
        <v>313.18</v>
      </c>
      <c r="G516" s="100" t="s">
        <v>127</v>
      </c>
      <c r="H516" s="1" t="s">
        <v>326</v>
      </c>
      <c r="I516" s="100" t="s">
        <v>126</v>
      </c>
      <c r="J516" s="101" t="s">
        <v>128</v>
      </c>
    </row>
    <row r="517" spans="1:10">
      <c r="A517" t="s">
        <v>1157</v>
      </c>
      <c r="C517" s="100">
        <v>67.340277777777771</v>
      </c>
      <c r="D517" s="100">
        <v>3.6211111111111114</v>
      </c>
      <c r="E517" s="1">
        <v>314.48</v>
      </c>
      <c r="F517" s="1">
        <v>314.48</v>
      </c>
      <c r="G517" s="100" t="s">
        <v>127</v>
      </c>
      <c r="H517" s="1" t="s">
        <v>326</v>
      </c>
      <c r="I517" s="100" t="s">
        <v>126</v>
      </c>
      <c r="J517" s="101" t="s">
        <v>128</v>
      </c>
    </row>
    <row r="518" spans="1:10">
      <c r="A518" t="s">
        <v>1158</v>
      </c>
      <c r="C518" s="100">
        <v>67.340277777777771</v>
      </c>
      <c r="D518" s="100">
        <v>3.6211111111111114</v>
      </c>
      <c r="E518" s="1">
        <v>315.82</v>
      </c>
      <c r="F518" s="1">
        <v>315.82</v>
      </c>
      <c r="G518" s="100" t="s">
        <v>127</v>
      </c>
      <c r="H518" s="1" t="s">
        <v>326</v>
      </c>
      <c r="I518" s="100" t="s">
        <v>126</v>
      </c>
      <c r="J518" s="101" t="s">
        <v>128</v>
      </c>
    </row>
    <row r="519" spans="1:10">
      <c r="A519" t="s">
        <v>1159</v>
      </c>
      <c r="C519" s="100">
        <v>67.340277777777771</v>
      </c>
      <c r="D519" s="100">
        <v>3.6211111111111114</v>
      </c>
      <c r="E519" s="1">
        <v>316.98</v>
      </c>
      <c r="F519" s="1">
        <v>316.98</v>
      </c>
      <c r="G519" s="100" t="s">
        <v>127</v>
      </c>
      <c r="H519" s="1" t="s">
        <v>326</v>
      </c>
      <c r="I519" s="100" t="s">
        <v>126</v>
      </c>
      <c r="J519" s="101" t="s">
        <v>128</v>
      </c>
    </row>
    <row r="520" spans="1:10">
      <c r="A520" t="s">
        <v>1160</v>
      </c>
      <c r="C520" s="100">
        <v>67.340277777777771</v>
      </c>
      <c r="D520" s="100">
        <v>3.6211111111111114</v>
      </c>
      <c r="E520" s="1">
        <v>317.5</v>
      </c>
      <c r="F520" s="1">
        <v>317.5</v>
      </c>
      <c r="G520" s="100" t="s">
        <v>127</v>
      </c>
      <c r="H520" s="1" t="s">
        <v>326</v>
      </c>
      <c r="I520" s="100" t="s">
        <v>126</v>
      </c>
      <c r="J520" s="101" t="s">
        <v>128</v>
      </c>
    </row>
    <row r="521" spans="1:10">
      <c r="A521" t="s">
        <v>1161</v>
      </c>
      <c r="C521" s="100">
        <v>67.340277777777771</v>
      </c>
      <c r="D521" s="100">
        <v>3.6211111111111114</v>
      </c>
      <c r="E521" s="1">
        <v>318.88</v>
      </c>
      <c r="F521" s="1">
        <v>318.88</v>
      </c>
      <c r="G521" s="100" t="s">
        <v>127</v>
      </c>
      <c r="H521" s="1" t="s">
        <v>326</v>
      </c>
      <c r="I521" s="100" t="s">
        <v>126</v>
      </c>
      <c r="J521" s="101" t="s">
        <v>128</v>
      </c>
    </row>
    <row r="522" spans="1:10">
      <c r="A522" t="s">
        <v>1162</v>
      </c>
      <c r="C522" s="100">
        <v>67.340277777777771</v>
      </c>
      <c r="D522" s="100">
        <v>3.6211111111111114</v>
      </c>
      <c r="E522" s="1">
        <v>319.74</v>
      </c>
      <c r="F522" s="1">
        <v>319.74</v>
      </c>
      <c r="G522" s="100" t="s">
        <v>127</v>
      </c>
      <c r="H522" s="1" t="s">
        <v>326</v>
      </c>
      <c r="I522" s="100" t="s">
        <v>126</v>
      </c>
      <c r="J522" s="101" t="s">
        <v>128</v>
      </c>
    </row>
    <row r="523" spans="1:10">
      <c r="A523" t="s">
        <v>1163</v>
      </c>
      <c r="C523" s="100">
        <v>67.340277777777771</v>
      </c>
      <c r="D523" s="100">
        <v>3.6211111111111114</v>
      </c>
      <c r="E523" s="1">
        <v>320.5</v>
      </c>
      <c r="F523" s="1">
        <v>320.5</v>
      </c>
      <c r="G523" s="100" t="s">
        <v>127</v>
      </c>
      <c r="H523" s="1" t="s">
        <v>326</v>
      </c>
      <c r="I523" s="100" t="s">
        <v>126</v>
      </c>
      <c r="J523" s="101" t="s">
        <v>128</v>
      </c>
    </row>
    <row r="524" spans="1:10">
      <c r="A524" t="s">
        <v>1164</v>
      </c>
      <c r="C524" s="100">
        <v>67.340277777777771</v>
      </c>
      <c r="D524" s="100">
        <v>3.6211111111111114</v>
      </c>
      <c r="E524" s="1">
        <v>321.36</v>
      </c>
      <c r="F524" s="1">
        <v>321.36</v>
      </c>
      <c r="G524" s="100" t="s">
        <v>127</v>
      </c>
      <c r="H524" s="1" t="s">
        <v>326</v>
      </c>
      <c r="I524" s="100" t="s">
        <v>126</v>
      </c>
      <c r="J524" s="101" t="s">
        <v>128</v>
      </c>
    </row>
    <row r="525" spans="1:10">
      <c r="A525" t="s">
        <v>1165</v>
      </c>
      <c r="C525" s="100">
        <v>67.340277777777771</v>
      </c>
      <c r="D525" s="100">
        <v>3.6211111111111114</v>
      </c>
      <c r="E525" s="1">
        <v>322.7</v>
      </c>
      <c r="F525" s="1">
        <v>322.7</v>
      </c>
      <c r="G525" s="100" t="s">
        <v>127</v>
      </c>
      <c r="H525" s="1" t="s">
        <v>326</v>
      </c>
      <c r="I525" s="100" t="s">
        <v>126</v>
      </c>
      <c r="J525" s="101" t="s">
        <v>128</v>
      </c>
    </row>
    <row r="526" spans="1:10">
      <c r="A526" t="s">
        <v>1166</v>
      </c>
      <c r="C526" s="100">
        <v>67.340277777777771</v>
      </c>
      <c r="D526" s="100">
        <v>3.6211111111111114</v>
      </c>
      <c r="E526" s="1">
        <v>324.43</v>
      </c>
      <c r="F526" s="1">
        <v>324.43</v>
      </c>
      <c r="G526" s="100" t="s">
        <v>127</v>
      </c>
      <c r="H526" s="1" t="s">
        <v>326</v>
      </c>
      <c r="I526" s="100" t="s">
        <v>126</v>
      </c>
      <c r="J526" s="101" t="s">
        <v>128</v>
      </c>
    </row>
    <row r="527" spans="1:10">
      <c r="A527" t="s">
        <v>1167</v>
      </c>
      <c r="C527" s="100">
        <v>67.340277777777771</v>
      </c>
      <c r="D527" s="100">
        <v>3.6211111111111114</v>
      </c>
      <c r="E527" s="1">
        <v>324.87</v>
      </c>
      <c r="F527" s="1">
        <v>324.87</v>
      </c>
      <c r="G527" s="100" t="s">
        <v>127</v>
      </c>
      <c r="H527" s="1" t="s">
        <v>326</v>
      </c>
      <c r="I527" s="100" t="s">
        <v>126</v>
      </c>
      <c r="J527" s="101" t="s">
        <v>128</v>
      </c>
    </row>
    <row r="528" spans="1:10">
      <c r="A528" t="s">
        <v>1257</v>
      </c>
      <c r="C528" s="100">
        <v>68.767222222222216</v>
      </c>
      <c r="D528" s="100">
        <v>5.8025000000000002</v>
      </c>
      <c r="E528" s="1">
        <v>381.53999999999996</v>
      </c>
      <c r="F528" s="1">
        <v>381.53999999999996</v>
      </c>
      <c r="G528" s="100" t="s">
        <v>127</v>
      </c>
      <c r="H528" s="1" t="s">
        <v>327</v>
      </c>
      <c r="I528" s="100" t="s">
        <v>126</v>
      </c>
      <c r="J528" s="101" t="s">
        <v>128</v>
      </c>
    </row>
    <row r="529" spans="1:10">
      <c r="A529" t="s">
        <v>1258</v>
      </c>
      <c r="C529" s="100">
        <v>68.767222222222216</v>
      </c>
      <c r="D529" s="100">
        <v>5.8025000000000002</v>
      </c>
      <c r="E529" s="1">
        <v>381.84999999999997</v>
      </c>
      <c r="F529" s="1">
        <v>381.84999999999997</v>
      </c>
      <c r="G529" s="100" t="s">
        <v>127</v>
      </c>
      <c r="H529" s="1" t="s">
        <v>327</v>
      </c>
      <c r="I529" s="100" t="s">
        <v>126</v>
      </c>
      <c r="J529" s="101" t="s">
        <v>128</v>
      </c>
    </row>
    <row r="530" spans="1:10">
      <c r="A530" t="s">
        <v>1259</v>
      </c>
      <c r="C530" s="100">
        <v>68.767222222222216</v>
      </c>
      <c r="D530" s="100">
        <v>5.8025000000000002</v>
      </c>
      <c r="E530" s="1">
        <v>382.21</v>
      </c>
      <c r="F530" s="1">
        <v>382.21</v>
      </c>
      <c r="G530" s="100" t="s">
        <v>127</v>
      </c>
      <c r="H530" s="1" t="s">
        <v>327</v>
      </c>
      <c r="I530" s="100" t="s">
        <v>126</v>
      </c>
      <c r="J530" s="101" t="s">
        <v>128</v>
      </c>
    </row>
    <row r="531" spans="1:10">
      <c r="A531" t="s">
        <v>1260</v>
      </c>
      <c r="C531" s="100">
        <v>68.767222222222216</v>
      </c>
      <c r="D531" s="100">
        <v>5.8025000000000002</v>
      </c>
      <c r="E531" s="1">
        <v>382.43</v>
      </c>
      <c r="F531" s="1">
        <v>382.43</v>
      </c>
      <c r="G531" s="100" t="s">
        <v>127</v>
      </c>
      <c r="H531" s="1" t="s">
        <v>327</v>
      </c>
      <c r="I531" s="100" t="s">
        <v>126</v>
      </c>
      <c r="J531" s="101" t="s">
        <v>128</v>
      </c>
    </row>
    <row r="532" spans="1:10">
      <c r="A532" t="s">
        <v>1261</v>
      </c>
      <c r="C532" s="100">
        <v>68.767222222222216</v>
      </c>
      <c r="D532" s="100">
        <v>5.8025000000000002</v>
      </c>
      <c r="E532" s="1">
        <v>382.86</v>
      </c>
      <c r="F532" s="1">
        <v>382.86</v>
      </c>
      <c r="G532" s="100" t="s">
        <v>127</v>
      </c>
      <c r="H532" s="1" t="s">
        <v>327</v>
      </c>
      <c r="I532" s="100" t="s">
        <v>126</v>
      </c>
      <c r="J532" s="101" t="s">
        <v>128</v>
      </c>
    </row>
    <row r="533" spans="1:10">
      <c r="A533" t="s">
        <v>1262</v>
      </c>
      <c r="C533" s="100">
        <v>68.767222222222216</v>
      </c>
      <c r="D533" s="100">
        <v>5.8025000000000002</v>
      </c>
      <c r="E533" s="1">
        <v>387.05</v>
      </c>
      <c r="F533" s="1">
        <v>387.05</v>
      </c>
      <c r="G533" s="100" t="s">
        <v>127</v>
      </c>
      <c r="H533" s="1" t="s">
        <v>327</v>
      </c>
      <c r="I533" s="100" t="s">
        <v>126</v>
      </c>
      <c r="J533" s="101" t="s">
        <v>128</v>
      </c>
    </row>
    <row r="534" spans="1:10">
      <c r="A534" t="s">
        <v>1263</v>
      </c>
      <c r="C534" s="100">
        <v>68.767222222222216</v>
      </c>
      <c r="D534" s="100">
        <v>5.8025000000000002</v>
      </c>
      <c r="E534" s="1">
        <v>387.77</v>
      </c>
      <c r="F534" s="1">
        <v>387.77</v>
      </c>
      <c r="G534" s="100" t="s">
        <v>127</v>
      </c>
      <c r="H534" s="1" t="s">
        <v>327</v>
      </c>
      <c r="I534" s="100" t="s">
        <v>126</v>
      </c>
      <c r="J534" s="101" t="s">
        <v>128</v>
      </c>
    </row>
    <row r="535" spans="1:10">
      <c r="A535" t="s">
        <v>1264</v>
      </c>
      <c r="C535" s="100">
        <v>68.767222222222216</v>
      </c>
      <c r="D535" s="100">
        <v>5.8025000000000002</v>
      </c>
      <c r="E535" s="1">
        <v>388.32</v>
      </c>
      <c r="F535" s="1">
        <v>388.32</v>
      </c>
      <c r="G535" s="100" t="s">
        <v>127</v>
      </c>
      <c r="H535" s="1" t="s">
        <v>327</v>
      </c>
      <c r="I535" s="100" t="s">
        <v>126</v>
      </c>
      <c r="J535" s="101" t="s">
        <v>128</v>
      </c>
    </row>
    <row r="536" spans="1:10">
      <c r="A536" t="s">
        <v>1265</v>
      </c>
      <c r="C536" s="100">
        <v>68.767222222222216</v>
      </c>
      <c r="D536" s="100">
        <v>5.8025000000000002</v>
      </c>
      <c r="E536" s="1">
        <v>389.69</v>
      </c>
      <c r="F536" s="1">
        <v>389.69</v>
      </c>
      <c r="G536" s="100" t="s">
        <v>127</v>
      </c>
      <c r="H536" s="1" t="s">
        <v>327</v>
      </c>
      <c r="I536" s="100" t="s">
        <v>126</v>
      </c>
      <c r="J536" s="101" t="s">
        <v>128</v>
      </c>
    </row>
    <row r="537" spans="1:10">
      <c r="A537" t="s">
        <v>1266</v>
      </c>
      <c r="C537" s="100">
        <v>68.767222222222216</v>
      </c>
      <c r="D537" s="100">
        <v>5.8025000000000002</v>
      </c>
      <c r="E537" s="1">
        <v>390.14</v>
      </c>
      <c r="F537" s="1">
        <v>390.14</v>
      </c>
      <c r="G537" s="100" t="s">
        <v>127</v>
      </c>
      <c r="H537" s="1" t="s">
        <v>327</v>
      </c>
      <c r="I537" s="100" t="s">
        <v>126</v>
      </c>
      <c r="J537" s="101" t="s">
        <v>128</v>
      </c>
    </row>
    <row r="538" spans="1:10">
      <c r="A538" t="s">
        <v>1267</v>
      </c>
      <c r="C538" s="100">
        <v>68.767222222222216</v>
      </c>
      <c r="D538" s="100">
        <v>5.8025000000000002</v>
      </c>
      <c r="E538" s="1">
        <v>391.33</v>
      </c>
      <c r="F538" s="1">
        <v>391.33</v>
      </c>
      <c r="G538" s="100" t="s">
        <v>127</v>
      </c>
      <c r="H538" s="1" t="s">
        <v>327</v>
      </c>
      <c r="I538" s="100" t="s">
        <v>126</v>
      </c>
      <c r="J538" s="101" t="s">
        <v>128</v>
      </c>
    </row>
    <row r="539" spans="1:10">
      <c r="A539" t="s">
        <v>1268</v>
      </c>
      <c r="C539" s="100">
        <v>68.767222222222216</v>
      </c>
      <c r="D539" s="100">
        <v>5.8025000000000002</v>
      </c>
      <c r="E539" s="1">
        <v>396.49</v>
      </c>
      <c r="F539" s="1">
        <v>396.49</v>
      </c>
      <c r="G539" s="100" t="s">
        <v>127</v>
      </c>
      <c r="H539" s="1" t="s">
        <v>327</v>
      </c>
      <c r="I539" s="100" t="s">
        <v>126</v>
      </c>
      <c r="J539" s="101" t="s">
        <v>128</v>
      </c>
    </row>
    <row r="540" spans="1:10">
      <c r="A540" t="s">
        <v>1269</v>
      </c>
      <c r="C540" s="100">
        <v>68.767222222222216</v>
      </c>
      <c r="D540" s="100">
        <v>5.8025000000000002</v>
      </c>
      <c r="E540" s="1">
        <v>397.53999999999996</v>
      </c>
      <c r="F540" s="1">
        <v>397.53999999999996</v>
      </c>
      <c r="G540" s="100" t="s">
        <v>127</v>
      </c>
      <c r="H540" s="1" t="s">
        <v>327</v>
      </c>
      <c r="I540" s="100" t="s">
        <v>126</v>
      </c>
      <c r="J540" s="101" t="s">
        <v>128</v>
      </c>
    </row>
    <row r="541" spans="1:10">
      <c r="A541" t="s">
        <v>1270</v>
      </c>
      <c r="C541" s="100">
        <v>68.767222222222216</v>
      </c>
      <c r="D541" s="100">
        <v>5.8025000000000002</v>
      </c>
      <c r="E541" s="1">
        <v>398.13</v>
      </c>
      <c r="F541" s="1">
        <v>398.13</v>
      </c>
      <c r="G541" s="100" t="s">
        <v>127</v>
      </c>
      <c r="H541" s="1" t="s">
        <v>327</v>
      </c>
      <c r="I541" s="100" t="s">
        <v>126</v>
      </c>
      <c r="J541" s="101" t="s">
        <v>128</v>
      </c>
    </row>
    <row r="542" spans="1:10">
      <c r="A542" t="s">
        <v>1271</v>
      </c>
      <c r="C542" s="100">
        <v>68.767222222222216</v>
      </c>
      <c r="D542" s="100">
        <v>5.8025000000000002</v>
      </c>
      <c r="E542" s="1">
        <v>399.48</v>
      </c>
      <c r="F542" s="1">
        <v>399.48</v>
      </c>
      <c r="G542" s="100" t="s">
        <v>127</v>
      </c>
      <c r="H542" s="1" t="s">
        <v>327</v>
      </c>
      <c r="I542" s="100" t="s">
        <v>126</v>
      </c>
      <c r="J542" s="101" t="s">
        <v>128</v>
      </c>
    </row>
    <row r="543" spans="1:10">
      <c r="A543" t="s">
        <v>1272</v>
      </c>
      <c r="C543" s="100">
        <v>68.767222222222216</v>
      </c>
      <c r="D543" s="100">
        <v>5.8025000000000002</v>
      </c>
      <c r="E543" s="1">
        <v>400.28</v>
      </c>
      <c r="F543" s="1">
        <v>400.28</v>
      </c>
      <c r="G543" s="100" t="s">
        <v>127</v>
      </c>
      <c r="H543" s="1" t="s">
        <v>327</v>
      </c>
      <c r="I543" s="100" t="s">
        <v>126</v>
      </c>
      <c r="J543" s="101" t="s">
        <v>128</v>
      </c>
    </row>
    <row r="544" spans="1:10">
      <c r="A544" t="s">
        <v>1273</v>
      </c>
      <c r="C544" s="100">
        <v>68.767222222222216</v>
      </c>
      <c r="D544" s="100">
        <v>5.8025000000000002</v>
      </c>
      <c r="E544" s="1">
        <v>401.34</v>
      </c>
      <c r="F544" s="1">
        <v>401.34</v>
      </c>
      <c r="G544" s="100" t="s">
        <v>127</v>
      </c>
      <c r="H544" s="1" t="s">
        <v>327</v>
      </c>
      <c r="I544" s="100" t="s">
        <v>126</v>
      </c>
      <c r="J544" s="101" t="s">
        <v>128</v>
      </c>
    </row>
    <row r="545" spans="1:10">
      <c r="A545" t="s">
        <v>1274</v>
      </c>
      <c r="C545" s="100">
        <v>68.767222222222216</v>
      </c>
      <c r="D545" s="100">
        <v>5.8025000000000002</v>
      </c>
      <c r="E545" s="1">
        <v>406.26</v>
      </c>
      <c r="F545" s="1">
        <v>406.26</v>
      </c>
      <c r="G545" s="100" t="s">
        <v>127</v>
      </c>
      <c r="H545" s="1" t="s">
        <v>327</v>
      </c>
      <c r="I545" s="100" t="s">
        <v>126</v>
      </c>
      <c r="J545" s="101" t="s">
        <v>128</v>
      </c>
    </row>
    <row r="546" spans="1:10">
      <c r="A546" t="s">
        <v>1275</v>
      </c>
      <c r="C546" s="100">
        <v>68.767222222222216</v>
      </c>
      <c r="D546" s="100">
        <v>5.8025000000000002</v>
      </c>
      <c r="E546" s="1">
        <v>407.96999999999997</v>
      </c>
      <c r="F546" s="1">
        <v>407.96999999999997</v>
      </c>
      <c r="G546" s="100" t="s">
        <v>127</v>
      </c>
      <c r="H546" s="1" t="s">
        <v>327</v>
      </c>
      <c r="I546" s="100" t="s">
        <v>126</v>
      </c>
      <c r="J546" s="101" t="s">
        <v>128</v>
      </c>
    </row>
    <row r="547" spans="1:10">
      <c r="A547" t="s">
        <v>1276</v>
      </c>
      <c r="C547" s="100">
        <v>68.767222222222216</v>
      </c>
      <c r="D547" s="100">
        <v>5.8025000000000002</v>
      </c>
      <c r="E547" s="1">
        <v>415.79</v>
      </c>
      <c r="F547" s="1">
        <v>415.79</v>
      </c>
      <c r="G547" s="100" t="s">
        <v>127</v>
      </c>
      <c r="H547" s="1" t="s">
        <v>327</v>
      </c>
      <c r="I547" s="100" t="s">
        <v>126</v>
      </c>
      <c r="J547" s="101" t="s">
        <v>128</v>
      </c>
    </row>
    <row r="548" spans="1:10">
      <c r="A548" t="s">
        <v>1277</v>
      </c>
      <c r="C548" s="100">
        <v>68.767222222222216</v>
      </c>
      <c r="D548" s="100">
        <v>5.8025000000000002</v>
      </c>
      <c r="E548" s="1">
        <v>416.13</v>
      </c>
      <c r="F548" s="1">
        <v>416.13</v>
      </c>
      <c r="G548" s="100" t="s">
        <v>127</v>
      </c>
      <c r="H548" s="1" t="s">
        <v>327</v>
      </c>
      <c r="I548" s="100" t="s">
        <v>126</v>
      </c>
      <c r="J548" s="101" t="s">
        <v>128</v>
      </c>
    </row>
    <row r="549" spans="1:10">
      <c r="A549" t="s">
        <v>1278</v>
      </c>
      <c r="C549" s="100">
        <v>68.767222222222216</v>
      </c>
      <c r="D549" s="100">
        <v>5.8025000000000002</v>
      </c>
      <c r="E549" s="1">
        <v>416.53000000000003</v>
      </c>
      <c r="F549" s="1">
        <v>416.53000000000003</v>
      </c>
      <c r="G549" s="100" t="s">
        <v>127</v>
      </c>
      <c r="H549" s="1" t="s">
        <v>327</v>
      </c>
      <c r="I549" s="100" t="s">
        <v>126</v>
      </c>
      <c r="J549" s="101" t="s">
        <v>128</v>
      </c>
    </row>
    <row r="550" spans="1:10">
      <c r="A550" t="s">
        <v>1279</v>
      </c>
      <c r="C550" s="100">
        <v>68.767222222222216</v>
      </c>
      <c r="D550" s="100">
        <v>5.8025000000000002</v>
      </c>
      <c r="E550" s="1">
        <v>417.39</v>
      </c>
      <c r="F550" s="1">
        <v>417.39</v>
      </c>
      <c r="G550" s="100" t="s">
        <v>127</v>
      </c>
      <c r="H550" s="1" t="s">
        <v>327</v>
      </c>
      <c r="I550" s="100" t="s">
        <v>126</v>
      </c>
      <c r="J550" s="101" t="s">
        <v>128</v>
      </c>
    </row>
    <row r="551" spans="1:10">
      <c r="A551" t="s">
        <v>1280</v>
      </c>
      <c r="C551" s="100">
        <v>68.767222222222216</v>
      </c>
      <c r="D551" s="100">
        <v>5.8025000000000002</v>
      </c>
      <c r="E551" s="1">
        <v>417.90999999999997</v>
      </c>
      <c r="F551" s="1">
        <v>417.90999999999997</v>
      </c>
      <c r="G551" s="100" t="s">
        <v>127</v>
      </c>
      <c r="H551" s="1" t="s">
        <v>327</v>
      </c>
      <c r="I551" s="100" t="s">
        <v>126</v>
      </c>
      <c r="J551" s="101" t="s">
        <v>128</v>
      </c>
    </row>
    <row r="552" spans="1:10">
      <c r="A552" t="s">
        <v>1281</v>
      </c>
      <c r="C552" s="100">
        <v>68.767222222222216</v>
      </c>
      <c r="D552" s="100">
        <v>5.8025000000000002</v>
      </c>
      <c r="E552" s="1">
        <v>418.45</v>
      </c>
      <c r="F552" s="1">
        <v>418.45</v>
      </c>
      <c r="G552" s="100" t="s">
        <v>127</v>
      </c>
      <c r="H552" s="1" t="s">
        <v>327</v>
      </c>
      <c r="I552" s="100" t="s">
        <v>126</v>
      </c>
      <c r="J552" s="101" t="s">
        <v>128</v>
      </c>
    </row>
    <row r="553" spans="1:10">
      <c r="A553" t="s">
        <v>1282</v>
      </c>
      <c r="C553" s="100">
        <v>68.767222222222216</v>
      </c>
      <c r="D553" s="100">
        <v>5.8025000000000002</v>
      </c>
      <c r="E553" s="1">
        <v>418.67</v>
      </c>
      <c r="F553" s="1">
        <v>418.67</v>
      </c>
      <c r="G553" s="100" t="s">
        <v>127</v>
      </c>
      <c r="H553" s="1" t="s">
        <v>327</v>
      </c>
      <c r="I553" s="100" t="s">
        <v>126</v>
      </c>
      <c r="J553" s="101" t="s">
        <v>128</v>
      </c>
    </row>
    <row r="554" spans="1:10">
      <c r="A554" t="s">
        <v>1283</v>
      </c>
      <c r="C554" s="100">
        <v>68.767222222222216</v>
      </c>
      <c r="D554" s="100">
        <v>5.8025000000000002</v>
      </c>
      <c r="E554" s="1">
        <v>426.10999999999996</v>
      </c>
      <c r="F554" s="1">
        <v>426.10999999999996</v>
      </c>
      <c r="G554" s="100" t="s">
        <v>127</v>
      </c>
      <c r="H554" s="1" t="s">
        <v>327</v>
      </c>
      <c r="I554" s="100" t="s">
        <v>126</v>
      </c>
      <c r="J554" s="101" t="s">
        <v>128</v>
      </c>
    </row>
    <row r="555" spans="1:10">
      <c r="A555" t="s">
        <v>1284</v>
      </c>
      <c r="C555" s="100">
        <v>68.767222222222216</v>
      </c>
      <c r="D555" s="100">
        <v>5.8025000000000002</v>
      </c>
      <c r="E555" s="1">
        <v>430.67</v>
      </c>
      <c r="F555" s="1">
        <v>430.67</v>
      </c>
      <c r="G555" s="100" t="s">
        <v>127</v>
      </c>
      <c r="H555" s="1" t="s">
        <v>327</v>
      </c>
      <c r="I555" s="100" t="s">
        <v>126</v>
      </c>
      <c r="J555" s="101" t="s">
        <v>128</v>
      </c>
    </row>
    <row r="556" spans="1:10">
      <c r="A556" t="s">
        <v>1285</v>
      </c>
      <c r="C556" s="100">
        <v>68.767222222222216</v>
      </c>
      <c r="D556" s="100">
        <v>5.8025000000000002</v>
      </c>
      <c r="E556" s="1">
        <v>430.92</v>
      </c>
      <c r="F556" s="1">
        <v>430.92</v>
      </c>
      <c r="G556" s="100" t="s">
        <v>127</v>
      </c>
      <c r="H556" s="1" t="s">
        <v>327</v>
      </c>
      <c r="I556" s="100" t="s">
        <v>126</v>
      </c>
      <c r="J556" s="101" t="s">
        <v>128</v>
      </c>
    </row>
    <row r="557" spans="1:10">
      <c r="A557" t="s">
        <v>1286</v>
      </c>
      <c r="C557" s="100">
        <v>68.767222222222216</v>
      </c>
      <c r="D557" s="100">
        <v>5.8025000000000002</v>
      </c>
      <c r="E557" s="1">
        <v>431.41</v>
      </c>
      <c r="F557" s="1">
        <v>431.41</v>
      </c>
      <c r="G557" s="100" t="s">
        <v>127</v>
      </c>
      <c r="H557" s="1" t="s">
        <v>327</v>
      </c>
      <c r="I557" s="100" t="s">
        <v>126</v>
      </c>
      <c r="J557" s="101" t="s">
        <v>128</v>
      </c>
    </row>
    <row r="558" spans="1:10">
      <c r="A558" t="s">
        <v>1287</v>
      </c>
      <c r="C558" s="100">
        <v>68.767222222222216</v>
      </c>
      <c r="D558" s="100">
        <v>5.8025000000000002</v>
      </c>
      <c r="E558" s="1">
        <v>432.24</v>
      </c>
      <c r="F558" s="1">
        <v>432.24</v>
      </c>
      <c r="G558" s="100" t="s">
        <v>127</v>
      </c>
      <c r="H558" s="1" t="s">
        <v>327</v>
      </c>
      <c r="I558" s="100" t="s">
        <v>126</v>
      </c>
      <c r="J558" s="101" t="s">
        <v>128</v>
      </c>
    </row>
    <row r="559" spans="1:10">
      <c r="A559" t="s">
        <v>1288</v>
      </c>
      <c r="C559" s="100">
        <v>68.767222222222216</v>
      </c>
      <c r="D559" s="100">
        <v>5.8025000000000002</v>
      </c>
      <c r="E559" s="1">
        <v>436.13</v>
      </c>
      <c r="F559" s="1">
        <v>436.13</v>
      </c>
      <c r="G559" s="100" t="s">
        <v>127</v>
      </c>
      <c r="H559" s="1" t="s">
        <v>327</v>
      </c>
      <c r="I559" s="100" t="s">
        <v>126</v>
      </c>
      <c r="J559" s="101" t="s">
        <v>128</v>
      </c>
    </row>
    <row r="560" spans="1:10">
      <c r="A560" t="s">
        <v>1289</v>
      </c>
      <c r="C560" s="100">
        <v>68.767222222222216</v>
      </c>
      <c r="D560" s="100">
        <v>5.8025000000000002</v>
      </c>
      <c r="E560" s="1">
        <v>436.73999999999995</v>
      </c>
      <c r="F560" s="1">
        <v>436.73999999999995</v>
      </c>
      <c r="G560" s="100" t="s">
        <v>127</v>
      </c>
      <c r="H560" s="1" t="s">
        <v>327</v>
      </c>
      <c r="I560" s="100" t="s">
        <v>126</v>
      </c>
      <c r="J560" s="101" t="s">
        <v>128</v>
      </c>
    </row>
    <row r="561" spans="1:10">
      <c r="A561" t="s">
        <v>1290</v>
      </c>
      <c r="C561" s="100">
        <v>68.767222222222216</v>
      </c>
      <c r="D561" s="100">
        <v>5.8025000000000002</v>
      </c>
      <c r="E561" s="1">
        <v>437.31</v>
      </c>
      <c r="F561" s="1">
        <v>437.31</v>
      </c>
      <c r="G561" s="100" t="s">
        <v>127</v>
      </c>
      <c r="H561" s="1" t="s">
        <v>327</v>
      </c>
      <c r="I561" s="100" t="s">
        <v>126</v>
      </c>
      <c r="J561" s="101" t="s">
        <v>128</v>
      </c>
    </row>
    <row r="562" spans="1:10">
      <c r="A562" t="s">
        <v>1291</v>
      </c>
      <c r="C562" s="100">
        <v>68.767222222222216</v>
      </c>
      <c r="D562" s="100">
        <v>5.8025000000000002</v>
      </c>
      <c r="E562" s="1">
        <v>440.4</v>
      </c>
      <c r="F562" s="1">
        <v>440.4</v>
      </c>
      <c r="G562" s="100" t="s">
        <v>127</v>
      </c>
      <c r="H562" s="1" t="s">
        <v>327</v>
      </c>
      <c r="I562" s="100" t="s">
        <v>126</v>
      </c>
      <c r="J562" s="101" t="s">
        <v>128</v>
      </c>
    </row>
    <row r="563" spans="1:10">
      <c r="A563" t="s">
        <v>1292</v>
      </c>
      <c r="C563" s="100">
        <v>68.767222222222216</v>
      </c>
      <c r="D563" s="100">
        <v>5.8025000000000002</v>
      </c>
      <c r="E563" s="1">
        <v>440.27</v>
      </c>
      <c r="F563" s="1">
        <v>440.27</v>
      </c>
      <c r="G563" s="100" t="s">
        <v>127</v>
      </c>
      <c r="H563" s="1" t="s">
        <v>327</v>
      </c>
      <c r="I563" s="100" t="s">
        <v>126</v>
      </c>
      <c r="J563" s="101" t="s">
        <v>128</v>
      </c>
    </row>
    <row r="564" spans="1:10">
      <c r="A564" s="81" t="s">
        <v>1329</v>
      </c>
      <c r="C564" s="100">
        <v>68.600277777777777</v>
      </c>
      <c r="D564" s="100">
        <v>4.6455555555555552</v>
      </c>
      <c r="E564" s="1">
        <v>167.5</v>
      </c>
      <c r="F564" s="1">
        <v>167.5</v>
      </c>
      <c r="G564" s="100" t="s">
        <v>127</v>
      </c>
      <c r="H564" s="1" t="s">
        <v>328</v>
      </c>
      <c r="I564" s="100" t="s">
        <v>126</v>
      </c>
      <c r="J564" s="101" t="s">
        <v>128</v>
      </c>
    </row>
    <row r="565" spans="1:10">
      <c r="A565" s="81" t="s">
        <v>1330</v>
      </c>
      <c r="C565" s="100">
        <v>68.600277777777777</v>
      </c>
      <c r="D565" s="100">
        <v>4.6455555555555552</v>
      </c>
      <c r="E565" s="1">
        <v>167.73</v>
      </c>
      <c r="F565" s="1">
        <v>167.73</v>
      </c>
      <c r="G565" s="100" t="s">
        <v>127</v>
      </c>
      <c r="H565" s="1" t="s">
        <v>328</v>
      </c>
      <c r="I565" s="100" t="s">
        <v>126</v>
      </c>
      <c r="J565" s="101" t="s">
        <v>128</v>
      </c>
    </row>
    <row r="566" spans="1:10">
      <c r="A566" s="81" t="s">
        <v>1331</v>
      </c>
      <c r="C566" s="100">
        <v>68.600277777777777</v>
      </c>
      <c r="D566" s="100">
        <v>4.6455555555555552</v>
      </c>
      <c r="E566" s="1">
        <v>169.13</v>
      </c>
      <c r="F566" s="1">
        <v>169.13</v>
      </c>
      <c r="G566" s="100" t="s">
        <v>127</v>
      </c>
      <c r="H566" s="1" t="s">
        <v>328</v>
      </c>
      <c r="I566" s="100" t="s">
        <v>126</v>
      </c>
      <c r="J566" s="101" t="s">
        <v>128</v>
      </c>
    </row>
    <row r="567" spans="1:10">
      <c r="A567" s="81" t="s">
        <v>1332</v>
      </c>
      <c r="C567" s="100">
        <v>68.600277777777777</v>
      </c>
      <c r="D567" s="100">
        <v>4.6455555555555552</v>
      </c>
      <c r="E567" s="1">
        <v>169.82000000000002</v>
      </c>
      <c r="F567" s="1">
        <v>169.82000000000002</v>
      </c>
      <c r="G567" s="100" t="s">
        <v>127</v>
      </c>
      <c r="H567" s="1" t="s">
        <v>328</v>
      </c>
      <c r="I567" s="100" t="s">
        <v>126</v>
      </c>
      <c r="J567" s="101" t="s">
        <v>128</v>
      </c>
    </row>
    <row r="568" spans="1:10">
      <c r="A568" s="81" t="s">
        <v>1333</v>
      </c>
      <c r="C568" s="100">
        <v>68.600277777777777</v>
      </c>
      <c r="D568" s="100">
        <v>4.6455555555555552</v>
      </c>
      <c r="E568" s="1">
        <v>171.81</v>
      </c>
      <c r="F568" s="1">
        <v>171.81</v>
      </c>
      <c r="G568" s="100" t="s">
        <v>127</v>
      </c>
      <c r="H568" s="1" t="s">
        <v>328</v>
      </c>
      <c r="I568" s="100" t="s">
        <v>126</v>
      </c>
      <c r="J568" s="101" t="s">
        <v>128</v>
      </c>
    </row>
    <row r="569" spans="1:10">
      <c r="A569" s="81" t="s">
        <v>1334</v>
      </c>
      <c r="C569" s="100">
        <v>68.600277777777777</v>
      </c>
      <c r="D569" s="100">
        <v>4.6455555555555552</v>
      </c>
      <c r="E569" s="1">
        <v>173.4</v>
      </c>
      <c r="F569" s="1">
        <v>173.4</v>
      </c>
      <c r="G569" s="100" t="s">
        <v>127</v>
      </c>
      <c r="H569" s="1" t="s">
        <v>328</v>
      </c>
      <c r="I569" s="100" t="s">
        <v>126</v>
      </c>
      <c r="J569" s="101" t="s">
        <v>128</v>
      </c>
    </row>
    <row r="570" spans="1:10">
      <c r="A570" s="81" t="s">
        <v>1335</v>
      </c>
      <c r="C570" s="100">
        <v>68.600277777777777</v>
      </c>
      <c r="D570" s="100">
        <v>4.6455555555555552</v>
      </c>
      <c r="E570" s="1">
        <v>177</v>
      </c>
      <c r="F570" s="1">
        <v>177</v>
      </c>
      <c r="G570" s="100" t="s">
        <v>127</v>
      </c>
      <c r="H570" s="1" t="s">
        <v>328</v>
      </c>
      <c r="I570" s="100" t="s">
        <v>126</v>
      </c>
      <c r="J570" s="101" t="s">
        <v>128</v>
      </c>
    </row>
    <row r="571" spans="1:10">
      <c r="A571" s="81" t="s">
        <v>1336</v>
      </c>
      <c r="C571" s="100">
        <v>68.600277777777777</v>
      </c>
      <c r="D571" s="100">
        <v>4.6455555555555552</v>
      </c>
      <c r="E571" s="1">
        <v>178.12</v>
      </c>
      <c r="F571" s="1">
        <v>178.12</v>
      </c>
      <c r="G571" s="100" t="s">
        <v>127</v>
      </c>
      <c r="H571" s="1" t="s">
        <v>328</v>
      </c>
      <c r="I571" s="100" t="s">
        <v>126</v>
      </c>
      <c r="J571" s="101" t="s">
        <v>128</v>
      </c>
    </row>
    <row r="572" spans="1:10">
      <c r="A572" s="81" t="s">
        <v>1337</v>
      </c>
      <c r="C572" s="100">
        <v>68.600277777777777</v>
      </c>
      <c r="D572" s="100">
        <v>4.6455555555555552</v>
      </c>
      <c r="E572" s="1">
        <v>182.38</v>
      </c>
      <c r="F572" s="1">
        <v>182.38</v>
      </c>
      <c r="G572" s="100" t="s">
        <v>127</v>
      </c>
      <c r="H572" s="1" t="s">
        <v>328</v>
      </c>
      <c r="I572" s="100" t="s">
        <v>126</v>
      </c>
      <c r="J572" s="101" t="s">
        <v>128</v>
      </c>
    </row>
    <row r="573" spans="1:10">
      <c r="A573" s="81" t="s">
        <v>1338</v>
      </c>
      <c r="C573" s="100">
        <v>68.600277777777777</v>
      </c>
      <c r="D573" s="100">
        <v>4.6455555555555552</v>
      </c>
      <c r="E573" s="1">
        <v>183.22</v>
      </c>
      <c r="F573" s="1">
        <v>183.22</v>
      </c>
      <c r="G573" s="100" t="s">
        <v>127</v>
      </c>
      <c r="H573" s="1" t="s">
        <v>328</v>
      </c>
      <c r="I573" s="100" t="s">
        <v>126</v>
      </c>
      <c r="J573" s="101" t="s">
        <v>128</v>
      </c>
    </row>
    <row r="574" spans="1:10">
      <c r="A574" s="81" t="s">
        <v>1339</v>
      </c>
      <c r="C574" s="100">
        <v>68.600277777777777</v>
      </c>
      <c r="D574" s="100">
        <v>4.6455555555555552</v>
      </c>
      <c r="E574" s="1">
        <v>185.03</v>
      </c>
      <c r="F574" s="1">
        <v>185.03</v>
      </c>
      <c r="G574" s="100" t="s">
        <v>127</v>
      </c>
      <c r="H574" s="1" t="s">
        <v>328</v>
      </c>
      <c r="I574" s="100" t="s">
        <v>126</v>
      </c>
      <c r="J574" s="101" t="s">
        <v>128</v>
      </c>
    </row>
    <row r="575" spans="1:10">
      <c r="A575" s="81" t="s">
        <v>1340</v>
      </c>
      <c r="C575" s="100">
        <v>68.600277777777777</v>
      </c>
      <c r="D575" s="100">
        <v>4.6455555555555552</v>
      </c>
      <c r="E575" s="1">
        <v>186.38</v>
      </c>
      <c r="F575" s="1">
        <v>186.38</v>
      </c>
      <c r="G575" s="100" t="s">
        <v>127</v>
      </c>
      <c r="H575" s="1" t="s">
        <v>328</v>
      </c>
      <c r="I575" s="100" t="s">
        <v>126</v>
      </c>
      <c r="J575" s="101" t="s">
        <v>128</v>
      </c>
    </row>
    <row r="576" spans="1:10">
      <c r="A576" s="81" t="s">
        <v>1341</v>
      </c>
      <c r="C576" s="100">
        <v>68.600277777777777</v>
      </c>
      <c r="D576" s="100">
        <v>4.6455555555555552</v>
      </c>
      <c r="E576" s="1">
        <v>186.79</v>
      </c>
      <c r="F576" s="1">
        <v>186.79</v>
      </c>
      <c r="G576" s="100" t="s">
        <v>127</v>
      </c>
      <c r="H576" s="1" t="s">
        <v>328</v>
      </c>
      <c r="I576" s="100" t="s">
        <v>126</v>
      </c>
      <c r="J576" s="101" t="s">
        <v>128</v>
      </c>
    </row>
    <row r="577" spans="1:10">
      <c r="A577" s="81" t="s">
        <v>1342</v>
      </c>
      <c r="C577" s="100">
        <v>68.600277777777777</v>
      </c>
      <c r="D577" s="100">
        <v>4.6455555555555552</v>
      </c>
      <c r="E577" s="1">
        <v>188.12</v>
      </c>
      <c r="F577" s="1">
        <v>188.12</v>
      </c>
      <c r="G577" s="100" t="s">
        <v>127</v>
      </c>
      <c r="H577" s="1" t="s">
        <v>328</v>
      </c>
      <c r="I577" s="100" t="s">
        <v>126</v>
      </c>
      <c r="J577" s="101" t="s">
        <v>128</v>
      </c>
    </row>
    <row r="578" spans="1:10">
      <c r="A578" s="81" t="s">
        <v>1343</v>
      </c>
      <c r="C578" s="100">
        <v>68.600277777777777</v>
      </c>
      <c r="D578" s="100">
        <v>4.6455555555555552</v>
      </c>
      <c r="E578" s="1">
        <v>189.46</v>
      </c>
      <c r="F578" s="1">
        <v>189.46</v>
      </c>
      <c r="G578" s="100" t="s">
        <v>127</v>
      </c>
      <c r="H578" s="1" t="s">
        <v>328</v>
      </c>
      <c r="I578" s="100" t="s">
        <v>126</v>
      </c>
      <c r="J578" s="101" t="s">
        <v>128</v>
      </c>
    </row>
    <row r="579" spans="1:10">
      <c r="A579" s="81" t="s">
        <v>1344</v>
      </c>
      <c r="C579" s="100">
        <v>68.600277777777777</v>
      </c>
      <c r="D579" s="100">
        <v>4.6455555555555552</v>
      </c>
      <c r="E579" s="1">
        <v>191.60000000000002</v>
      </c>
      <c r="F579" s="1">
        <v>191.60000000000002</v>
      </c>
      <c r="G579" s="100" t="s">
        <v>127</v>
      </c>
      <c r="H579" s="1" t="s">
        <v>328</v>
      </c>
      <c r="I579" s="100" t="s">
        <v>126</v>
      </c>
      <c r="J579" s="101" t="s">
        <v>128</v>
      </c>
    </row>
    <row r="580" spans="1:10">
      <c r="A580" s="81" t="s">
        <v>1345</v>
      </c>
      <c r="C580" s="100">
        <v>68.600277777777777</v>
      </c>
      <c r="D580" s="100">
        <v>4.6455555555555552</v>
      </c>
      <c r="E580" s="1">
        <v>192.88</v>
      </c>
      <c r="F580" s="1">
        <v>192.88</v>
      </c>
      <c r="G580" s="100" t="s">
        <v>127</v>
      </c>
      <c r="H580" s="1" t="s">
        <v>328</v>
      </c>
      <c r="I580" s="100" t="s">
        <v>126</v>
      </c>
      <c r="J580" s="101" t="s">
        <v>128</v>
      </c>
    </row>
    <row r="581" spans="1:10">
      <c r="A581" s="81" t="s">
        <v>1346</v>
      </c>
      <c r="C581" s="100">
        <v>68.600277777777777</v>
      </c>
      <c r="D581" s="100">
        <v>4.6455555555555552</v>
      </c>
      <c r="E581" s="1">
        <v>194.78</v>
      </c>
      <c r="F581" s="1">
        <v>194.78</v>
      </c>
      <c r="G581" s="100" t="s">
        <v>127</v>
      </c>
      <c r="H581" s="1" t="s">
        <v>328</v>
      </c>
      <c r="I581" s="100" t="s">
        <v>126</v>
      </c>
      <c r="J581" s="101" t="s">
        <v>128</v>
      </c>
    </row>
    <row r="582" spans="1:10">
      <c r="A582" s="81" t="s">
        <v>1347</v>
      </c>
      <c r="C582" s="100">
        <v>68.600277777777777</v>
      </c>
      <c r="D582" s="100">
        <v>4.6455555555555552</v>
      </c>
      <c r="E582" s="1">
        <v>195.6</v>
      </c>
      <c r="F582" s="1">
        <v>195.6</v>
      </c>
      <c r="G582" s="100" t="s">
        <v>127</v>
      </c>
      <c r="H582" s="1" t="s">
        <v>328</v>
      </c>
      <c r="I582" s="100" t="s">
        <v>126</v>
      </c>
      <c r="J582" s="101" t="s">
        <v>128</v>
      </c>
    </row>
    <row r="583" spans="1:10">
      <c r="A583" s="81" t="s">
        <v>1348</v>
      </c>
      <c r="C583" s="100">
        <v>68.600277777777777</v>
      </c>
      <c r="D583" s="100">
        <v>4.6455555555555552</v>
      </c>
      <c r="E583" s="1">
        <v>196.2</v>
      </c>
      <c r="F583" s="1">
        <v>196.2</v>
      </c>
      <c r="G583" s="100" t="s">
        <v>127</v>
      </c>
      <c r="H583" s="1" t="s">
        <v>328</v>
      </c>
      <c r="I583" s="100" t="s">
        <v>126</v>
      </c>
      <c r="J583" s="101" t="s">
        <v>128</v>
      </c>
    </row>
    <row r="584" spans="1:10">
      <c r="A584" s="81" t="s">
        <v>1349</v>
      </c>
      <c r="C584" s="100">
        <v>68.600277777777777</v>
      </c>
      <c r="D584" s="100">
        <v>4.6455555555555552</v>
      </c>
      <c r="E584" s="1">
        <v>197.62</v>
      </c>
      <c r="F584" s="1">
        <v>197.62</v>
      </c>
      <c r="G584" s="100" t="s">
        <v>127</v>
      </c>
      <c r="H584" s="1" t="s">
        <v>328</v>
      </c>
      <c r="I584" s="100" t="s">
        <v>126</v>
      </c>
      <c r="J584" s="101" t="s">
        <v>128</v>
      </c>
    </row>
    <row r="585" spans="1:10">
      <c r="A585" s="81" t="s">
        <v>1350</v>
      </c>
      <c r="C585" s="100">
        <v>68.600277777777777</v>
      </c>
      <c r="D585" s="100">
        <v>4.6455555555555552</v>
      </c>
      <c r="E585" s="1">
        <v>200.53</v>
      </c>
      <c r="F585" s="1">
        <v>200.53</v>
      </c>
      <c r="G585" s="100" t="s">
        <v>127</v>
      </c>
      <c r="H585" s="1" t="s">
        <v>328</v>
      </c>
      <c r="I585" s="100" t="s">
        <v>126</v>
      </c>
      <c r="J585" s="101" t="s">
        <v>128</v>
      </c>
    </row>
    <row r="586" spans="1:10">
      <c r="A586" s="81" t="s">
        <v>1351</v>
      </c>
      <c r="C586" s="100">
        <v>68.600277777777777</v>
      </c>
      <c r="D586" s="100">
        <v>4.6455555555555552</v>
      </c>
      <c r="E586" s="1">
        <v>200.6</v>
      </c>
      <c r="F586" s="1">
        <v>200.6</v>
      </c>
      <c r="G586" s="100" t="s">
        <v>127</v>
      </c>
      <c r="H586" s="1" t="s">
        <v>328</v>
      </c>
      <c r="I586" s="100" t="s">
        <v>126</v>
      </c>
      <c r="J586" s="101" t="s">
        <v>128</v>
      </c>
    </row>
    <row r="587" spans="1:10">
      <c r="A587" s="81" t="s">
        <v>1352</v>
      </c>
      <c r="C587" s="100">
        <v>68.600277777777777</v>
      </c>
      <c r="D587" s="100">
        <v>4.6455555555555552</v>
      </c>
      <c r="E587" s="1">
        <v>201.45999999999998</v>
      </c>
      <c r="F587" s="1">
        <v>201.45999999999998</v>
      </c>
      <c r="G587" s="100" t="s">
        <v>127</v>
      </c>
      <c r="H587" s="1" t="s">
        <v>328</v>
      </c>
      <c r="I587" s="100" t="s">
        <v>126</v>
      </c>
      <c r="J587" s="101" t="s">
        <v>128</v>
      </c>
    </row>
    <row r="588" spans="1:10">
      <c r="A588" s="81" t="s">
        <v>1353</v>
      </c>
      <c r="C588" s="100">
        <v>68.600277777777777</v>
      </c>
      <c r="D588" s="100">
        <v>4.6455555555555552</v>
      </c>
      <c r="E588" s="1">
        <v>202.9</v>
      </c>
      <c r="F588" s="1">
        <v>202.9</v>
      </c>
      <c r="G588" s="100" t="s">
        <v>127</v>
      </c>
      <c r="H588" s="1" t="s">
        <v>328</v>
      </c>
      <c r="I588" s="100" t="s">
        <v>126</v>
      </c>
      <c r="J588" s="101" t="s">
        <v>128</v>
      </c>
    </row>
    <row r="589" spans="1:10">
      <c r="A589" s="81" t="s">
        <v>1354</v>
      </c>
      <c r="C589" s="100">
        <v>68.600277777777777</v>
      </c>
      <c r="D589" s="100">
        <v>4.6455555555555552</v>
      </c>
      <c r="E589" s="1">
        <v>204</v>
      </c>
      <c r="F589" s="1">
        <v>204</v>
      </c>
      <c r="G589" s="100" t="s">
        <v>127</v>
      </c>
      <c r="H589" s="1" t="s">
        <v>328</v>
      </c>
      <c r="I589" s="100" t="s">
        <v>126</v>
      </c>
      <c r="J589" s="101" t="s">
        <v>128</v>
      </c>
    </row>
    <row r="590" spans="1:10">
      <c r="A590" s="81" t="s">
        <v>1355</v>
      </c>
      <c r="C590" s="100">
        <v>68.600277777777777</v>
      </c>
      <c r="D590" s="100">
        <v>4.6455555555555552</v>
      </c>
      <c r="E590" s="1">
        <v>204.35</v>
      </c>
      <c r="F590" s="1">
        <v>204.35</v>
      </c>
      <c r="G590" s="100" t="s">
        <v>127</v>
      </c>
      <c r="H590" s="1" t="s">
        <v>328</v>
      </c>
      <c r="I590" s="100" t="s">
        <v>126</v>
      </c>
      <c r="J590" s="101" t="s">
        <v>128</v>
      </c>
    </row>
    <row r="591" spans="1:10">
      <c r="A591" s="81" t="s">
        <v>1356</v>
      </c>
      <c r="C591" s="100">
        <v>68.600277777777777</v>
      </c>
      <c r="D591" s="100">
        <v>4.6455555555555552</v>
      </c>
      <c r="E591" s="1">
        <v>205.35000000000002</v>
      </c>
      <c r="F591" s="1">
        <v>205.35000000000002</v>
      </c>
      <c r="G591" s="100" t="s">
        <v>127</v>
      </c>
      <c r="H591" s="1" t="s">
        <v>328</v>
      </c>
      <c r="I591" s="100" t="s">
        <v>126</v>
      </c>
      <c r="J591" s="101" t="s">
        <v>128</v>
      </c>
    </row>
    <row r="592" spans="1:10">
      <c r="A592" s="81" t="s">
        <v>1357</v>
      </c>
      <c r="C592" s="100">
        <v>68.600277777777777</v>
      </c>
      <c r="D592" s="100">
        <v>4.6455555555555552</v>
      </c>
      <c r="E592" s="1">
        <v>206.34</v>
      </c>
      <c r="F592" s="1">
        <v>206.34</v>
      </c>
      <c r="G592" s="100" t="s">
        <v>127</v>
      </c>
      <c r="H592" s="1" t="s">
        <v>328</v>
      </c>
      <c r="I592" s="100" t="s">
        <v>126</v>
      </c>
      <c r="J592" s="101" t="s">
        <v>128</v>
      </c>
    </row>
    <row r="593" spans="1:10">
      <c r="A593" s="81" t="s">
        <v>1358</v>
      </c>
      <c r="C593" s="100">
        <v>68.600277777777777</v>
      </c>
      <c r="D593" s="100">
        <v>4.6455555555555552</v>
      </c>
      <c r="E593" s="1">
        <v>207.31</v>
      </c>
      <c r="F593" s="1">
        <v>207.31</v>
      </c>
      <c r="G593" s="100" t="s">
        <v>127</v>
      </c>
      <c r="H593" s="1" t="s">
        <v>328</v>
      </c>
      <c r="I593" s="100" t="s">
        <v>126</v>
      </c>
      <c r="J593" s="101" t="s">
        <v>128</v>
      </c>
    </row>
    <row r="594" spans="1:10">
      <c r="A594" s="81" t="s">
        <v>1359</v>
      </c>
      <c r="C594" s="100">
        <v>68.600277777777777</v>
      </c>
      <c r="D594" s="100">
        <v>4.6455555555555552</v>
      </c>
      <c r="E594" s="1">
        <v>208.45</v>
      </c>
      <c r="F594" s="1">
        <v>208.45</v>
      </c>
      <c r="G594" s="100" t="s">
        <v>127</v>
      </c>
      <c r="H594" s="1" t="s">
        <v>328</v>
      </c>
      <c r="I594" s="100" t="s">
        <v>126</v>
      </c>
      <c r="J594" s="101" t="s">
        <v>128</v>
      </c>
    </row>
    <row r="595" spans="1:10">
      <c r="A595" s="81" t="s">
        <v>1360</v>
      </c>
      <c r="C595" s="100">
        <v>68.600277777777777</v>
      </c>
      <c r="D595" s="100">
        <v>4.6455555555555552</v>
      </c>
      <c r="E595" s="1">
        <v>210.38000000000002</v>
      </c>
      <c r="F595" s="1">
        <v>210.38000000000002</v>
      </c>
      <c r="G595" s="100" t="s">
        <v>127</v>
      </c>
      <c r="H595" s="1" t="s">
        <v>328</v>
      </c>
      <c r="I595" s="100" t="s">
        <v>126</v>
      </c>
      <c r="J595" s="101" t="s">
        <v>128</v>
      </c>
    </row>
    <row r="596" spans="1:10">
      <c r="A596" s="81" t="s">
        <v>1361</v>
      </c>
      <c r="C596" s="100">
        <v>68.600277777777777</v>
      </c>
      <c r="D596" s="100">
        <v>4.6455555555555552</v>
      </c>
      <c r="E596" s="1">
        <v>241.68</v>
      </c>
      <c r="F596" s="1">
        <v>241.68</v>
      </c>
      <c r="G596" s="100" t="s">
        <v>127</v>
      </c>
      <c r="H596" s="1" t="s">
        <v>328</v>
      </c>
      <c r="I596" s="100" t="s">
        <v>126</v>
      </c>
      <c r="J596" s="101" t="s">
        <v>128</v>
      </c>
    </row>
    <row r="597" spans="1:10">
      <c r="A597" s="81" t="s">
        <v>1362</v>
      </c>
      <c r="C597" s="100">
        <v>68.600277777777777</v>
      </c>
      <c r="D597" s="100">
        <v>4.6455555555555552</v>
      </c>
      <c r="E597" s="1">
        <v>242.74</v>
      </c>
      <c r="F597" s="1">
        <v>242.74</v>
      </c>
      <c r="G597" s="100" t="s">
        <v>127</v>
      </c>
      <c r="H597" s="1" t="s">
        <v>328</v>
      </c>
      <c r="I597" s="100" t="s">
        <v>126</v>
      </c>
      <c r="J597" s="101" t="s">
        <v>128</v>
      </c>
    </row>
    <row r="598" spans="1:10">
      <c r="A598" s="81" t="s">
        <v>1363</v>
      </c>
      <c r="C598" s="100">
        <v>68.600277777777777</v>
      </c>
      <c r="D598" s="100">
        <v>4.6455555555555552</v>
      </c>
      <c r="E598" s="1">
        <v>243.47</v>
      </c>
      <c r="F598" s="1">
        <v>243.47</v>
      </c>
      <c r="G598" s="100" t="s">
        <v>127</v>
      </c>
      <c r="H598" s="1" t="s">
        <v>328</v>
      </c>
      <c r="I598" s="100" t="s">
        <v>126</v>
      </c>
      <c r="J598" s="101" t="s">
        <v>128</v>
      </c>
    </row>
    <row r="599" spans="1:10">
      <c r="A599" s="81" t="s">
        <v>1364</v>
      </c>
      <c r="C599" s="100">
        <v>68.600277777777777</v>
      </c>
      <c r="D599" s="100">
        <v>4.6455555555555552</v>
      </c>
      <c r="E599" s="1">
        <v>245.02</v>
      </c>
      <c r="F599" s="1">
        <v>245.02</v>
      </c>
      <c r="G599" s="100" t="s">
        <v>127</v>
      </c>
      <c r="H599" s="1" t="s">
        <v>328</v>
      </c>
      <c r="I599" s="100" t="s">
        <v>126</v>
      </c>
      <c r="J599" s="101" t="s">
        <v>128</v>
      </c>
    </row>
    <row r="600" spans="1:10">
      <c r="A600" s="81" t="s">
        <v>1401</v>
      </c>
      <c r="C600" s="100">
        <v>68.600277777777777</v>
      </c>
      <c r="D600" s="100">
        <v>4.6455555555555552</v>
      </c>
      <c r="E600" s="1">
        <v>245.92000000000002</v>
      </c>
      <c r="F600" s="1">
        <v>245.92000000000002</v>
      </c>
      <c r="G600" s="100" t="s">
        <v>127</v>
      </c>
      <c r="H600" s="1" t="s">
        <v>328</v>
      </c>
      <c r="I600" s="100" t="s">
        <v>126</v>
      </c>
      <c r="J600" s="101" t="s">
        <v>128</v>
      </c>
    </row>
    <row r="601" spans="1:10">
      <c r="A601" s="81" t="s">
        <v>1402</v>
      </c>
      <c r="C601" s="100">
        <v>68.600277777777777</v>
      </c>
      <c r="D601" s="100">
        <v>4.6455555555555552</v>
      </c>
      <c r="E601" s="1">
        <v>247.32</v>
      </c>
      <c r="F601" s="1">
        <v>247.32</v>
      </c>
      <c r="G601" s="100" t="s">
        <v>127</v>
      </c>
      <c r="H601" s="1" t="s">
        <v>328</v>
      </c>
      <c r="I601" s="100" t="s">
        <v>126</v>
      </c>
      <c r="J601" s="101" t="s">
        <v>128</v>
      </c>
    </row>
    <row r="602" spans="1:10">
      <c r="A602" s="81" t="s">
        <v>1403</v>
      </c>
      <c r="C602" s="100">
        <v>68.600277777777777</v>
      </c>
      <c r="D602" s="100">
        <v>4.6455555555555552</v>
      </c>
      <c r="E602" s="1">
        <v>249.14999999999998</v>
      </c>
      <c r="F602" s="1">
        <v>249.14999999999998</v>
      </c>
      <c r="G602" s="100" t="s">
        <v>127</v>
      </c>
      <c r="H602" s="1" t="s">
        <v>328</v>
      </c>
      <c r="I602" s="100" t="s">
        <v>126</v>
      </c>
      <c r="J602" s="101" t="s">
        <v>128</v>
      </c>
    </row>
    <row r="603" spans="1:10">
      <c r="A603" s="81" t="s">
        <v>1404</v>
      </c>
      <c r="C603" s="100">
        <v>68.600277777777777</v>
      </c>
      <c r="D603" s="100">
        <v>4.6455555555555552</v>
      </c>
      <c r="E603" s="1">
        <v>251.36999999999998</v>
      </c>
      <c r="F603" s="1">
        <v>251.36999999999998</v>
      </c>
      <c r="G603" s="100" t="s">
        <v>127</v>
      </c>
      <c r="H603" s="1" t="s">
        <v>328</v>
      </c>
      <c r="I603" s="100" t="s">
        <v>126</v>
      </c>
      <c r="J603" s="101" t="s">
        <v>128</v>
      </c>
    </row>
    <row r="604" spans="1:10">
      <c r="A604" s="81" t="s">
        <v>1405</v>
      </c>
      <c r="C604" s="100">
        <v>68.600277777777777</v>
      </c>
      <c r="D604" s="100">
        <v>4.6455555555555552</v>
      </c>
      <c r="E604" s="1">
        <v>251.26</v>
      </c>
      <c r="F604" s="1">
        <v>251.26</v>
      </c>
      <c r="G604" s="100" t="s">
        <v>127</v>
      </c>
      <c r="H604" s="1" t="s">
        <v>328</v>
      </c>
      <c r="I604" s="100" t="s">
        <v>126</v>
      </c>
      <c r="J604" s="101" t="s">
        <v>128</v>
      </c>
    </row>
    <row r="605" spans="1:10">
      <c r="A605" s="81" t="s">
        <v>1406</v>
      </c>
      <c r="C605" s="100">
        <v>68.600277777777777</v>
      </c>
      <c r="D605" s="100">
        <v>4.6455555555555552</v>
      </c>
      <c r="E605" s="1">
        <v>252.2</v>
      </c>
      <c r="F605" s="1">
        <v>252.2</v>
      </c>
      <c r="G605" s="100" t="s">
        <v>127</v>
      </c>
      <c r="H605" s="1" t="s">
        <v>328</v>
      </c>
      <c r="I605" s="100" t="s">
        <v>126</v>
      </c>
      <c r="J605" s="101" t="s">
        <v>128</v>
      </c>
    </row>
    <row r="606" spans="1:10">
      <c r="A606" s="81" t="s">
        <v>1407</v>
      </c>
      <c r="C606" s="100">
        <v>68.600277777777777</v>
      </c>
      <c r="D606" s="100">
        <v>4.6455555555555552</v>
      </c>
      <c r="E606" s="1">
        <v>253.64000000000001</v>
      </c>
      <c r="F606" s="1">
        <v>253.64000000000001</v>
      </c>
      <c r="G606" s="100" t="s">
        <v>127</v>
      </c>
      <c r="H606" s="1" t="s">
        <v>328</v>
      </c>
      <c r="I606" s="100" t="s">
        <v>126</v>
      </c>
      <c r="J606" s="101" t="s">
        <v>128</v>
      </c>
    </row>
    <row r="607" spans="1:10">
      <c r="A607" s="81" t="s">
        <v>1408</v>
      </c>
      <c r="C607" s="100">
        <v>68.600277777777777</v>
      </c>
      <c r="D607" s="100">
        <v>4.6455555555555552</v>
      </c>
      <c r="E607" s="1">
        <v>255.29</v>
      </c>
      <c r="F607" s="1">
        <v>255.29</v>
      </c>
      <c r="G607" s="100" t="s">
        <v>127</v>
      </c>
      <c r="H607" s="1" t="s">
        <v>328</v>
      </c>
      <c r="I607" s="100" t="s">
        <v>126</v>
      </c>
      <c r="J607" s="101" t="s">
        <v>128</v>
      </c>
    </row>
    <row r="608" spans="1:10">
      <c r="A608" s="81" t="s">
        <v>1409</v>
      </c>
      <c r="C608" s="100">
        <v>68.600277777777777</v>
      </c>
      <c r="D608" s="100">
        <v>4.6455555555555552</v>
      </c>
      <c r="E608" s="1">
        <v>255.73999999999998</v>
      </c>
      <c r="F608" s="1">
        <v>255.73999999999998</v>
      </c>
      <c r="G608" s="100" t="s">
        <v>127</v>
      </c>
      <c r="H608" s="1" t="s">
        <v>328</v>
      </c>
      <c r="I608" s="100" t="s">
        <v>126</v>
      </c>
      <c r="J608" s="101" t="s">
        <v>128</v>
      </c>
    </row>
    <row r="609" spans="1:10">
      <c r="A609" s="81" t="s">
        <v>1410</v>
      </c>
      <c r="C609" s="100">
        <v>68.600277777777777</v>
      </c>
      <c r="D609" s="100">
        <v>4.6455555555555552</v>
      </c>
      <c r="E609" s="1">
        <v>257.68</v>
      </c>
      <c r="F609" s="1">
        <v>257.68</v>
      </c>
      <c r="G609" s="100" t="s">
        <v>127</v>
      </c>
      <c r="H609" s="1" t="s">
        <v>328</v>
      </c>
      <c r="I609" s="100" t="s">
        <v>126</v>
      </c>
      <c r="J609" s="101" t="s">
        <v>128</v>
      </c>
    </row>
    <row r="610" spans="1:10">
      <c r="A610" s="81" t="s">
        <v>1411</v>
      </c>
      <c r="C610" s="100">
        <v>68.600277777777777</v>
      </c>
      <c r="D610" s="100">
        <v>4.6455555555555552</v>
      </c>
      <c r="E610" s="1">
        <v>258.89</v>
      </c>
      <c r="F610" s="1">
        <v>258.89</v>
      </c>
      <c r="G610" s="100" t="s">
        <v>127</v>
      </c>
      <c r="H610" s="1" t="s">
        <v>328</v>
      </c>
      <c r="I610" s="100" t="s">
        <v>126</v>
      </c>
      <c r="J610" s="101" t="s">
        <v>128</v>
      </c>
    </row>
    <row r="614" spans="1:10">
      <c r="B614" s="81"/>
    </row>
    <row r="615" spans="1:10">
      <c r="B615" s="81"/>
    </row>
    <row r="616" spans="1:10">
      <c r="B616" s="81"/>
    </row>
    <row r="617" spans="1:10">
      <c r="B617" s="81"/>
    </row>
    <row r="618" spans="1:10">
      <c r="B618" s="81"/>
    </row>
    <row r="619" spans="1:10">
      <c r="B619" s="81"/>
    </row>
    <row r="620" spans="1:10">
      <c r="B620" s="81"/>
    </row>
    <row r="621" spans="1:10">
      <c r="B621" s="81"/>
    </row>
    <row r="622" spans="1:10">
      <c r="B622" s="81"/>
    </row>
    <row r="623" spans="1:10">
      <c r="B623" s="81"/>
    </row>
    <row r="624" spans="1:10">
      <c r="B624" s="81"/>
    </row>
    <row r="625" spans="2:2">
      <c r="B625" s="81"/>
    </row>
    <row r="626" spans="2:2">
      <c r="B626" s="81"/>
    </row>
  </sheetData>
  <hyperlinks>
    <hyperlink ref="B6" r:id="rId1" display="unique ID assigned by SESAR" xr:uid="{00000000-0004-0000-0100-000000000000}"/>
  </hyperlink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J609"/>
  <sheetViews>
    <sheetView zoomScale="96" zoomScaleNormal="96" workbookViewId="0">
      <selection activeCell="G228" sqref="G228"/>
    </sheetView>
  </sheetViews>
  <sheetFormatPr baseColWidth="10" defaultColWidth="8.81640625" defaultRowHeight="12.6"/>
  <cols>
    <col min="1" max="1" width="17.1796875" style="81" bestFit="1" customWidth="1"/>
    <col min="2" max="5" width="16.81640625" style="81" customWidth="1"/>
    <col min="6" max="6" width="15.81640625" style="81" customWidth="1"/>
    <col min="7" max="7" width="20.1796875" style="81" customWidth="1"/>
    <col min="8" max="8" width="17.6328125" style="81" customWidth="1"/>
    <col min="9" max="9" width="20.81640625" style="81" customWidth="1"/>
    <col min="10" max="10" width="23" style="81" customWidth="1"/>
    <col min="11" max="11" width="24" style="81" customWidth="1"/>
    <col min="12" max="16384" width="8.81640625" style="81"/>
  </cols>
  <sheetData>
    <row r="1" spans="1:218" s="107" customFormat="1" ht="29.4">
      <c r="A1" s="157" t="s">
        <v>38</v>
      </c>
      <c r="B1" s="158"/>
      <c r="F1" s="108" t="s">
        <v>440</v>
      </c>
      <c r="G1" s="109"/>
      <c r="H1" s="110"/>
      <c r="I1" s="110"/>
      <c r="J1" s="110"/>
      <c r="K1" s="111"/>
    </row>
    <row r="2" spans="1:218" ht="26.25" customHeight="1">
      <c r="A2" s="112"/>
      <c r="B2" s="113"/>
      <c r="C2" s="113"/>
      <c r="D2" s="113"/>
      <c r="E2" s="113"/>
      <c r="F2" s="114"/>
      <c r="G2" s="114"/>
      <c r="H2" s="114"/>
      <c r="I2" s="114"/>
      <c r="J2" s="114"/>
      <c r="K2" s="115" t="s">
        <v>76</v>
      </c>
      <c r="L2" s="116" t="s">
        <v>32</v>
      </c>
      <c r="M2" s="116" t="s">
        <v>131</v>
      </c>
      <c r="N2" s="116" t="s">
        <v>132</v>
      </c>
      <c r="O2" s="116" t="s">
        <v>133</v>
      </c>
      <c r="P2" s="116" t="s">
        <v>134</v>
      </c>
      <c r="Q2" s="116" t="s">
        <v>135</v>
      </c>
      <c r="R2" s="116" t="s">
        <v>136</v>
      </c>
      <c r="S2" s="116" t="s">
        <v>137</v>
      </c>
      <c r="T2" s="117" t="s">
        <v>138</v>
      </c>
      <c r="U2" s="118" t="s">
        <v>139</v>
      </c>
      <c r="V2" s="118" t="s">
        <v>140</v>
      </c>
      <c r="W2" s="118" t="s">
        <v>189</v>
      </c>
      <c r="X2" s="118" t="s">
        <v>190</v>
      </c>
      <c r="Y2" s="118" t="s">
        <v>141</v>
      </c>
      <c r="Z2" s="118" t="s">
        <v>142</v>
      </c>
      <c r="AA2" s="118" t="s">
        <v>191</v>
      </c>
      <c r="AB2" s="118" t="s">
        <v>144</v>
      </c>
      <c r="AC2" s="118" t="s">
        <v>145</v>
      </c>
      <c r="AD2" s="118" t="s">
        <v>146</v>
      </c>
      <c r="AE2" s="118" t="s">
        <v>147</v>
      </c>
      <c r="AF2" s="118" t="s">
        <v>148</v>
      </c>
      <c r="AG2" s="118" t="s">
        <v>149</v>
      </c>
      <c r="AH2" s="118" t="s">
        <v>150</v>
      </c>
      <c r="AI2" s="118" t="s">
        <v>151</v>
      </c>
      <c r="AJ2" s="118" t="s">
        <v>194</v>
      </c>
      <c r="AK2" s="118" t="s">
        <v>152</v>
      </c>
      <c r="AL2" s="118" t="s">
        <v>153</v>
      </c>
      <c r="AM2" s="118" t="s">
        <v>154</v>
      </c>
      <c r="AN2" s="118" t="s">
        <v>195</v>
      </c>
      <c r="AO2" s="118" t="s">
        <v>155</v>
      </c>
      <c r="AP2" s="118" t="s">
        <v>196</v>
      </c>
      <c r="AQ2" s="118" t="s">
        <v>197</v>
      </c>
      <c r="AR2" s="118" t="s">
        <v>198</v>
      </c>
      <c r="AS2" s="118" t="s">
        <v>199</v>
      </c>
      <c r="AT2" s="118" t="s">
        <v>200</v>
      </c>
      <c r="AU2" s="118" t="s">
        <v>201</v>
      </c>
      <c r="AV2" s="118" t="s">
        <v>202</v>
      </c>
      <c r="AW2" s="118" t="s">
        <v>203</v>
      </c>
      <c r="AX2" s="118" t="s">
        <v>204</v>
      </c>
      <c r="AY2" s="118" t="s">
        <v>205</v>
      </c>
      <c r="AZ2" s="118" t="s">
        <v>206</v>
      </c>
      <c r="BA2" s="118" t="s">
        <v>207</v>
      </c>
      <c r="BB2" s="118" t="s">
        <v>156</v>
      </c>
      <c r="BC2" s="118" t="s">
        <v>157</v>
      </c>
      <c r="BD2" s="118" t="s">
        <v>158</v>
      </c>
      <c r="BE2" s="116" t="s">
        <v>32</v>
      </c>
      <c r="BF2" s="116" t="s">
        <v>131</v>
      </c>
      <c r="BG2" s="116" t="s">
        <v>132</v>
      </c>
      <c r="BH2" s="116" t="s">
        <v>133</v>
      </c>
      <c r="BI2" s="116" t="s">
        <v>134</v>
      </c>
      <c r="BJ2" s="116" t="s">
        <v>135</v>
      </c>
      <c r="BK2" s="116" t="s">
        <v>136</v>
      </c>
      <c r="BL2" s="116" t="s">
        <v>137</v>
      </c>
      <c r="BM2" s="117" t="s">
        <v>138</v>
      </c>
      <c r="BN2" s="118" t="s">
        <v>139</v>
      </c>
      <c r="BO2" s="118" t="s">
        <v>140</v>
      </c>
      <c r="BP2" s="118" t="s">
        <v>189</v>
      </c>
      <c r="BQ2" s="118" t="s">
        <v>212</v>
      </c>
      <c r="BR2" s="118" t="s">
        <v>190</v>
      </c>
      <c r="BS2" s="118" t="s">
        <v>213</v>
      </c>
      <c r="BT2" s="118" t="s">
        <v>142</v>
      </c>
      <c r="BU2" s="118" t="s">
        <v>191</v>
      </c>
      <c r="BV2" s="118" t="s">
        <v>143</v>
      </c>
      <c r="BW2" s="118" t="s">
        <v>144</v>
      </c>
      <c r="BX2" s="118" t="s">
        <v>145</v>
      </c>
      <c r="BY2" s="118" t="s">
        <v>146</v>
      </c>
      <c r="BZ2" s="118" t="s">
        <v>192</v>
      </c>
      <c r="CA2" s="118" t="s">
        <v>147</v>
      </c>
      <c r="CB2" s="118" t="s">
        <v>148</v>
      </c>
      <c r="CC2" s="118" t="s">
        <v>214</v>
      </c>
      <c r="CD2" s="118" t="s">
        <v>150</v>
      </c>
      <c r="CE2" s="118" t="s">
        <v>151</v>
      </c>
      <c r="CF2" s="118" t="s">
        <v>194</v>
      </c>
      <c r="CG2" s="118" t="s">
        <v>152</v>
      </c>
      <c r="CH2" s="118" t="s">
        <v>153</v>
      </c>
      <c r="CI2" s="118" t="s">
        <v>154</v>
      </c>
      <c r="CJ2" s="118" t="s">
        <v>195</v>
      </c>
      <c r="CK2" s="118" t="s">
        <v>155</v>
      </c>
      <c r="CL2" s="118" t="s">
        <v>196</v>
      </c>
      <c r="CM2" s="118" t="s">
        <v>197</v>
      </c>
      <c r="CN2" s="118" t="s">
        <v>198</v>
      </c>
      <c r="CO2" s="118" t="s">
        <v>199</v>
      </c>
      <c r="CP2" s="118" t="s">
        <v>200</v>
      </c>
      <c r="CQ2" s="118" t="s">
        <v>201</v>
      </c>
      <c r="CR2" s="118" t="s">
        <v>202</v>
      </c>
      <c r="CS2" s="118" t="s">
        <v>203</v>
      </c>
      <c r="CT2" s="118" t="s">
        <v>204</v>
      </c>
      <c r="CU2" s="118" t="s">
        <v>205</v>
      </c>
      <c r="CV2" s="118" t="s">
        <v>206</v>
      </c>
      <c r="CW2" s="118" t="s">
        <v>207</v>
      </c>
      <c r="CX2" s="118" t="s">
        <v>156</v>
      </c>
      <c r="CY2" s="118" t="s">
        <v>157</v>
      </c>
      <c r="CZ2" s="118" t="s">
        <v>215</v>
      </c>
      <c r="DA2" s="116" t="s">
        <v>32</v>
      </c>
      <c r="DB2" s="116" t="s">
        <v>131</v>
      </c>
      <c r="DC2" s="116" t="s">
        <v>132</v>
      </c>
      <c r="DD2" s="116" t="s">
        <v>218</v>
      </c>
      <c r="DE2" s="116" t="s">
        <v>134</v>
      </c>
      <c r="DF2" s="116" t="s">
        <v>135</v>
      </c>
      <c r="DG2" s="116" t="s">
        <v>136</v>
      </c>
      <c r="DH2" s="116" t="s">
        <v>137</v>
      </c>
      <c r="DI2" s="117" t="s">
        <v>138</v>
      </c>
      <c r="DJ2" s="118" t="s">
        <v>139</v>
      </c>
      <c r="DK2" s="118" t="s">
        <v>140</v>
      </c>
      <c r="DL2" s="116" t="s">
        <v>177</v>
      </c>
      <c r="DM2" s="116" t="s">
        <v>190</v>
      </c>
      <c r="DN2" s="116" t="s">
        <v>141</v>
      </c>
      <c r="DO2" s="116" t="s">
        <v>142</v>
      </c>
      <c r="DP2" s="116" t="s">
        <v>191</v>
      </c>
      <c r="DQ2" s="116" t="s">
        <v>143</v>
      </c>
      <c r="DR2" s="116" t="s">
        <v>144</v>
      </c>
      <c r="DS2" s="116" t="s">
        <v>145</v>
      </c>
      <c r="DT2" s="116" t="s">
        <v>147</v>
      </c>
      <c r="DU2" s="116" t="s">
        <v>148</v>
      </c>
      <c r="DV2" s="116" t="s">
        <v>149</v>
      </c>
      <c r="DW2" s="116" t="s">
        <v>150</v>
      </c>
      <c r="DX2" s="116" t="s">
        <v>151</v>
      </c>
      <c r="DY2" s="116" t="s">
        <v>194</v>
      </c>
      <c r="DZ2" s="116" t="s">
        <v>152</v>
      </c>
      <c r="EA2" s="116" t="s">
        <v>153</v>
      </c>
      <c r="EB2" s="116" t="s">
        <v>154</v>
      </c>
      <c r="EC2" s="116" t="s">
        <v>195</v>
      </c>
      <c r="ED2" s="116" t="s">
        <v>155</v>
      </c>
      <c r="EE2" s="116" t="s">
        <v>196</v>
      </c>
      <c r="EF2" s="116" t="s">
        <v>197</v>
      </c>
      <c r="EG2" s="116" t="s">
        <v>198</v>
      </c>
      <c r="EH2" s="116" t="s">
        <v>199</v>
      </c>
      <c r="EI2" s="116" t="s">
        <v>200</v>
      </c>
      <c r="EJ2" s="116" t="s">
        <v>201</v>
      </c>
      <c r="EK2" s="116" t="s">
        <v>202</v>
      </c>
      <c r="EL2" s="116" t="s">
        <v>203</v>
      </c>
      <c r="EM2" s="116" t="s">
        <v>204</v>
      </c>
      <c r="EN2" s="116" t="s">
        <v>205</v>
      </c>
      <c r="EO2" s="116" t="s">
        <v>206</v>
      </c>
      <c r="EP2" s="116" t="s">
        <v>207</v>
      </c>
      <c r="EQ2" s="116" t="s">
        <v>156</v>
      </c>
      <c r="ER2" s="116" t="s">
        <v>157</v>
      </c>
      <c r="ES2" s="116" t="s">
        <v>158</v>
      </c>
      <c r="ET2" s="119" t="s">
        <v>32</v>
      </c>
      <c r="EU2" s="119" t="s">
        <v>131</v>
      </c>
      <c r="EV2" s="119" t="s">
        <v>132</v>
      </c>
      <c r="EW2" s="119" t="s">
        <v>218</v>
      </c>
      <c r="EX2" s="119" t="s">
        <v>134</v>
      </c>
      <c r="EY2" s="119" t="s">
        <v>135</v>
      </c>
      <c r="EZ2" s="119" t="s">
        <v>136</v>
      </c>
      <c r="FA2" s="119" t="s">
        <v>137</v>
      </c>
      <c r="FB2" s="119" t="s">
        <v>138</v>
      </c>
      <c r="FC2" s="119" t="s">
        <v>139</v>
      </c>
      <c r="FD2" s="119" t="s">
        <v>140</v>
      </c>
      <c r="FE2" s="119" t="s">
        <v>190</v>
      </c>
      <c r="FF2" s="119" t="s">
        <v>212</v>
      </c>
      <c r="FG2" s="119" t="s">
        <v>141</v>
      </c>
      <c r="FH2" s="119" t="s">
        <v>142</v>
      </c>
      <c r="FI2" s="119" t="s">
        <v>191</v>
      </c>
      <c r="FJ2" s="119" t="s">
        <v>143</v>
      </c>
      <c r="FK2" s="119" t="s">
        <v>144</v>
      </c>
      <c r="FL2" s="119" t="s">
        <v>145</v>
      </c>
      <c r="FM2" s="119" t="s">
        <v>146</v>
      </c>
      <c r="FN2" s="119" t="s">
        <v>192</v>
      </c>
      <c r="FO2" s="119" t="s">
        <v>1463</v>
      </c>
      <c r="FP2" s="119" t="s">
        <v>147</v>
      </c>
      <c r="FQ2" s="119" t="s">
        <v>148</v>
      </c>
      <c r="FR2" s="119" t="s">
        <v>149</v>
      </c>
      <c r="FS2" s="119" t="s">
        <v>150</v>
      </c>
      <c r="FT2" s="119" t="s">
        <v>151</v>
      </c>
      <c r="FU2" s="119" t="s">
        <v>1464</v>
      </c>
      <c r="FV2" s="119" t="s">
        <v>1465</v>
      </c>
      <c r="FW2" s="119" t="s">
        <v>1466</v>
      </c>
      <c r="FX2" s="119" t="s">
        <v>193</v>
      </c>
      <c r="FY2" s="119" t="s">
        <v>1467</v>
      </c>
      <c r="FZ2" s="119" t="s">
        <v>194</v>
      </c>
      <c r="GA2" s="119" t="s">
        <v>152</v>
      </c>
      <c r="GB2" s="119" t="s">
        <v>1468</v>
      </c>
      <c r="GC2" s="119" t="s">
        <v>153</v>
      </c>
      <c r="GD2" s="119" t="s">
        <v>154</v>
      </c>
      <c r="GE2" s="119" t="s">
        <v>195</v>
      </c>
      <c r="GF2" s="119" t="s">
        <v>155</v>
      </c>
      <c r="GG2" s="119" t="s">
        <v>196</v>
      </c>
      <c r="GH2" s="119" t="s">
        <v>197</v>
      </c>
      <c r="GI2" s="119" t="s">
        <v>198</v>
      </c>
      <c r="GJ2" s="119" t="s">
        <v>199</v>
      </c>
      <c r="GK2" s="119" t="s">
        <v>200</v>
      </c>
      <c r="GL2" s="119" t="s">
        <v>201</v>
      </c>
      <c r="GM2" s="119" t="s">
        <v>202</v>
      </c>
      <c r="GN2" s="119" t="s">
        <v>203</v>
      </c>
      <c r="GO2" s="119" t="s">
        <v>204</v>
      </c>
      <c r="GP2" s="119" t="s">
        <v>205</v>
      </c>
      <c r="GQ2" s="119" t="s">
        <v>206</v>
      </c>
      <c r="GR2" s="119" t="s">
        <v>207</v>
      </c>
      <c r="GS2" s="119" t="s">
        <v>208</v>
      </c>
      <c r="GT2" s="119" t="s">
        <v>1469</v>
      </c>
      <c r="GU2" s="119" t="s">
        <v>156</v>
      </c>
      <c r="GV2" s="119" t="s">
        <v>157</v>
      </c>
      <c r="GW2" s="119" t="s">
        <v>158</v>
      </c>
      <c r="GX2" s="116" t="s">
        <v>136</v>
      </c>
      <c r="GY2" s="116" t="s">
        <v>138</v>
      </c>
      <c r="GZ2" s="116" t="s">
        <v>131</v>
      </c>
      <c r="HA2" s="116" t="s">
        <v>134</v>
      </c>
      <c r="HB2" s="116" t="s">
        <v>655</v>
      </c>
      <c r="HC2" s="116" t="s">
        <v>143</v>
      </c>
      <c r="HD2" s="116" t="s">
        <v>142</v>
      </c>
      <c r="HE2" s="117" t="s">
        <v>144</v>
      </c>
      <c r="HF2" s="118" t="s">
        <v>145</v>
      </c>
      <c r="HG2" s="118" t="s">
        <v>148</v>
      </c>
      <c r="HH2" s="118" t="s">
        <v>147</v>
      </c>
      <c r="HI2" s="119" t="s">
        <v>150</v>
      </c>
      <c r="HJ2" s="119" t="s">
        <v>149</v>
      </c>
    </row>
    <row r="3" spans="1:218" ht="26.25" customHeight="1">
      <c r="A3" s="120"/>
      <c r="B3" s="121"/>
      <c r="C3" s="121"/>
      <c r="D3" s="121"/>
      <c r="E3" s="121"/>
      <c r="F3" s="109"/>
      <c r="G3" s="109"/>
      <c r="H3" s="109"/>
      <c r="I3" s="109"/>
      <c r="J3" s="109"/>
      <c r="K3" s="122" t="s">
        <v>116</v>
      </c>
      <c r="L3" s="123">
        <v>1</v>
      </c>
      <c r="M3" s="123">
        <v>1</v>
      </c>
      <c r="N3" s="123">
        <v>1</v>
      </c>
      <c r="O3" s="123">
        <v>1</v>
      </c>
      <c r="P3" s="123">
        <v>1</v>
      </c>
      <c r="Q3" s="123">
        <v>1</v>
      </c>
      <c r="R3" s="123">
        <v>1</v>
      </c>
      <c r="S3" s="123">
        <v>1</v>
      </c>
      <c r="T3" s="123">
        <v>1</v>
      </c>
      <c r="U3" s="123">
        <v>1</v>
      </c>
      <c r="V3" s="123">
        <v>2</v>
      </c>
      <c r="W3" s="123">
        <v>3</v>
      </c>
      <c r="X3" s="123">
        <v>3</v>
      </c>
      <c r="Y3" s="123">
        <v>3</v>
      </c>
      <c r="Z3" s="123">
        <v>3</v>
      </c>
      <c r="AA3" s="123">
        <v>3</v>
      </c>
      <c r="AB3" s="123">
        <v>3</v>
      </c>
      <c r="AC3" s="123">
        <v>3</v>
      </c>
      <c r="AD3" s="123">
        <v>3</v>
      </c>
      <c r="AE3" s="123">
        <v>3</v>
      </c>
      <c r="AF3" s="123">
        <v>3</v>
      </c>
      <c r="AG3" s="123">
        <v>3</v>
      </c>
      <c r="AH3" s="123">
        <v>3</v>
      </c>
      <c r="AI3" s="123">
        <v>3</v>
      </c>
      <c r="AJ3" s="123">
        <v>3</v>
      </c>
      <c r="AK3" s="123">
        <v>3</v>
      </c>
      <c r="AL3" s="123">
        <v>3</v>
      </c>
      <c r="AM3" s="123">
        <v>3</v>
      </c>
      <c r="AN3" s="123">
        <v>3</v>
      </c>
      <c r="AO3" s="123">
        <v>3</v>
      </c>
      <c r="AP3" s="123">
        <v>3</v>
      </c>
      <c r="AQ3" s="123">
        <v>3</v>
      </c>
      <c r="AR3" s="123">
        <v>3</v>
      </c>
      <c r="AS3" s="123">
        <v>3</v>
      </c>
      <c r="AT3" s="123">
        <v>3</v>
      </c>
      <c r="AU3" s="123">
        <v>3</v>
      </c>
      <c r="AV3" s="123">
        <v>3</v>
      </c>
      <c r="AW3" s="123">
        <v>3</v>
      </c>
      <c r="AX3" s="123">
        <v>3</v>
      </c>
      <c r="AY3" s="123">
        <v>3</v>
      </c>
      <c r="AZ3" s="123">
        <v>3</v>
      </c>
      <c r="BA3" s="123">
        <v>3</v>
      </c>
      <c r="BB3" s="123">
        <v>3</v>
      </c>
      <c r="BC3" s="123">
        <v>3</v>
      </c>
      <c r="BD3" s="123">
        <v>3</v>
      </c>
      <c r="BE3" s="123">
        <v>4</v>
      </c>
      <c r="BF3" s="123">
        <v>4</v>
      </c>
      <c r="BG3" s="123">
        <v>4</v>
      </c>
      <c r="BH3" s="123">
        <v>4</v>
      </c>
      <c r="BI3" s="123">
        <v>4</v>
      </c>
      <c r="BJ3" s="123">
        <v>4</v>
      </c>
      <c r="BK3" s="123">
        <v>4</v>
      </c>
      <c r="BL3" s="123">
        <v>4</v>
      </c>
      <c r="BM3" s="123">
        <v>4</v>
      </c>
      <c r="BN3" s="123">
        <v>4</v>
      </c>
      <c r="BO3" s="123">
        <v>5</v>
      </c>
      <c r="BP3" s="123">
        <v>6</v>
      </c>
      <c r="BQ3" s="123">
        <v>6</v>
      </c>
      <c r="BR3" s="123">
        <v>6</v>
      </c>
      <c r="BS3" s="123">
        <v>6</v>
      </c>
      <c r="BT3" s="123">
        <v>6</v>
      </c>
      <c r="BU3" s="123">
        <v>6</v>
      </c>
      <c r="BV3" s="123">
        <v>6</v>
      </c>
      <c r="BW3" s="123">
        <v>6</v>
      </c>
      <c r="BX3" s="123">
        <v>6</v>
      </c>
      <c r="BY3" s="123">
        <v>6</v>
      </c>
      <c r="BZ3" s="123"/>
      <c r="CA3" s="123">
        <v>6</v>
      </c>
      <c r="CB3" s="123">
        <v>6</v>
      </c>
      <c r="CC3" s="123">
        <v>6</v>
      </c>
      <c r="CD3" s="123">
        <v>6</v>
      </c>
      <c r="CE3" s="123">
        <v>6</v>
      </c>
      <c r="CF3" s="123">
        <v>6</v>
      </c>
      <c r="CG3" s="123">
        <v>6</v>
      </c>
      <c r="CH3" s="123">
        <v>6</v>
      </c>
      <c r="CI3" s="123">
        <v>6</v>
      </c>
      <c r="CJ3" s="123">
        <v>6</v>
      </c>
      <c r="CK3" s="123">
        <v>6</v>
      </c>
      <c r="CL3" s="123">
        <v>6</v>
      </c>
      <c r="CM3" s="123">
        <v>6</v>
      </c>
      <c r="CN3" s="123">
        <v>6</v>
      </c>
      <c r="CO3" s="123">
        <v>6</v>
      </c>
      <c r="CP3" s="123">
        <v>6</v>
      </c>
      <c r="CQ3" s="123">
        <v>6</v>
      </c>
      <c r="CR3" s="123">
        <v>6</v>
      </c>
      <c r="CS3" s="123">
        <v>6</v>
      </c>
      <c r="CT3" s="123">
        <v>6</v>
      </c>
      <c r="CU3" s="123">
        <v>6</v>
      </c>
      <c r="CV3" s="123">
        <v>6</v>
      </c>
      <c r="CW3" s="123">
        <v>6</v>
      </c>
      <c r="CX3" s="123">
        <v>6</v>
      </c>
      <c r="CY3" s="123">
        <v>6</v>
      </c>
      <c r="CZ3" s="123">
        <v>6</v>
      </c>
      <c r="DA3" s="123">
        <v>7</v>
      </c>
      <c r="DB3" s="123">
        <v>7</v>
      </c>
      <c r="DC3" s="123">
        <v>7</v>
      </c>
      <c r="DD3" s="123">
        <v>7</v>
      </c>
      <c r="DE3" s="123">
        <v>7</v>
      </c>
      <c r="DF3" s="123">
        <v>7</v>
      </c>
      <c r="DG3" s="123">
        <v>7</v>
      </c>
      <c r="DH3" s="123">
        <v>7</v>
      </c>
      <c r="DI3" s="123">
        <v>7</v>
      </c>
      <c r="DJ3" s="123">
        <v>7</v>
      </c>
      <c r="DK3" s="123">
        <v>8</v>
      </c>
      <c r="DL3" s="123">
        <v>9</v>
      </c>
      <c r="DM3" s="123">
        <v>10</v>
      </c>
      <c r="DN3" s="123">
        <v>10</v>
      </c>
      <c r="DO3" s="123">
        <v>10</v>
      </c>
      <c r="DP3" s="123">
        <v>10</v>
      </c>
      <c r="DQ3" s="123">
        <v>10</v>
      </c>
      <c r="DR3" s="123">
        <v>10</v>
      </c>
      <c r="DS3" s="123">
        <v>10</v>
      </c>
      <c r="DT3" s="123">
        <v>10</v>
      </c>
      <c r="DU3" s="123">
        <v>10</v>
      </c>
      <c r="DV3" s="123">
        <v>10</v>
      </c>
      <c r="DW3" s="123">
        <v>10</v>
      </c>
      <c r="DX3" s="123">
        <v>10</v>
      </c>
      <c r="DY3" s="123"/>
      <c r="DZ3" s="123">
        <v>10</v>
      </c>
      <c r="EA3" s="123">
        <v>10</v>
      </c>
      <c r="EB3" s="123">
        <v>10</v>
      </c>
      <c r="EC3" s="123">
        <v>10</v>
      </c>
      <c r="ED3" s="123">
        <v>10</v>
      </c>
      <c r="EE3" s="123">
        <v>10</v>
      </c>
      <c r="EF3" s="123">
        <v>10</v>
      </c>
      <c r="EG3" s="123">
        <v>10</v>
      </c>
      <c r="EH3" s="123">
        <v>10</v>
      </c>
      <c r="EI3" s="123">
        <v>10</v>
      </c>
      <c r="EJ3" s="123">
        <v>10</v>
      </c>
      <c r="EK3" s="123">
        <v>10</v>
      </c>
      <c r="EL3" s="123">
        <v>10</v>
      </c>
      <c r="EM3" s="123">
        <v>10</v>
      </c>
      <c r="EN3" s="123">
        <v>10</v>
      </c>
      <c r="EO3" s="123">
        <v>10</v>
      </c>
      <c r="EP3" s="123">
        <v>10</v>
      </c>
      <c r="EQ3" s="123">
        <v>10</v>
      </c>
      <c r="ER3" s="123">
        <v>10</v>
      </c>
      <c r="ES3" s="123">
        <v>10</v>
      </c>
      <c r="ET3" s="123">
        <v>11</v>
      </c>
      <c r="EU3" s="123">
        <v>11</v>
      </c>
      <c r="EV3" s="123">
        <v>11</v>
      </c>
      <c r="EW3" s="123">
        <v>11</v>
      </c>
      <c r="EX3" s="123">
        <v>11</v>
      </c>
      <c r="EY3" s="123">
        <v>11</v>
      </c>
      <c r="EZ3" s="123">
        <v>11</v>
      </c>
      <c r="FA3" s="123">
        <v>11</v>
      </c>
      <c r="FB3" s="123">
        <v>11</v>
      </c>
      <c r="FC3" s="123">
        <v>11</v>
      </c>
      <c r="FD3" s="123">
        <v>11</v>
      </c>
      <c r="FE3" s="123">
        <v>12</v>
      </c>
      <c r="FF3" s="123">
        <v>12</v>
      </c>
      <c r="FG3" s="123">
        <v>12</v>
      </c>
      <c r="FH3" s="123">
        <v>12</v>
      </c>
      <c r="FI3" s="123">
        <v>12</v>
      </c>
      <c r="FJ3" s="123">
        <v>12</v>
      </c>
      <c r="FK3" s="123">
        <v>12</v>
      </c>
      <c r="FL3" s="123">
        <v>12</v>
      </c>
      <c r="FM3" s="123">
        <v>12</v>
      </c>
      <c r="FN3" s="123">
        <v>12</v>
      </c>
      <c r="FO3" s="123">
        <v>12</v>
      </c>
      <c r="FP3" s="123">
        <v>12</v>
      </c>
      <c r="FQ3" s="123">
        <v>12</v>
      </c>
      <c r="FR3" s="123">
        <v>12</v>
      </c>
      <c r="FS3" s="123">
        <v>12</v>
      </c>
      <c r="FT3" s="123">
        <v>12</v>
      </c>
      <c r="FU3" s="123">
        <v>12</v>
      </c>
      <c r="FV3" s="123">
        <v>12</v>
      </c>
      <c r="FW3" s="123">
        <v>12</v>
      </c>
      <c r="FX3" s="123">
        <v>12</v>
      </c>
      <c r="FY3" s="123">
        <v>12</v>
      </c>
      <c r="FZ3" s="123">
        <v>12</v>
      </c>
      <c r="GA3" s="123">
        <v>12</v>
      </c>
      <c r="GB3" s="123">
        <v>12</v>
      </c>
      <c r="GC3" s="123">
        <v>12</v>
      </c>
      <c r="GD3" s="123">
        <v>12</v>
      </c>
      <c r="GE3" s="123">
        <v>12</v>
      </c>
      <c r="GF3" s="123">
        <v>12</v>
      </c>
      <c r="GG3" s="123">
        <v>12</v>
      </c>
      <c r="GH3" s="123">
        <v>12</v>
      </c>
      <c r="GI3" s="123">
        <v>12</v>
      </c>
      <c r="GJ3" s="123">
        <v>12</v>
      </c>
      <c r="GK3" s="123">
        <v>12</v>
      </c>
      <c r="GL3" s="123">
        <v>12</v>
      </c>
      <c r="GM3" s="123">
        <v>12</v>
      </c>
      <c r="GN3" s="123">
        <v>12</v>
      </c>
      <c r="GO3" s="123">
        <v>12</v>
      </c>
      <c r="GP3" s="123">
        <v>12</v>
      </c>
      <c r="GQ3" s="123">
        <v>12</v>
      </c>
      <c r="GR3" s="123">
        <v>12</v>
      </c>
      <c r="GS3" s="123">
        <v>12</v>
      </c>
      <c r="GT3" s="123">
        <v>12</v>
      </c>
      <c r="GU3" s="123">
        <v>12</v>
      </c>
      <c r="GV3" s="123">
        <v>12</v>
      </c>
      <c r="GW3" s="123">
        <v>12</v>
      </c>
      <c r="GX3" s="123">
        <v>13</v>
      </c>
      <c r="GY3" s="123">
        <v>13</v>
      </c>
      <c r="GZ3" s="123">
        <v>13</v>
      </c>
      <c r="HA3" s="123">
        <v>13</v>
      </c>
      <c r="HB3" s="123">
        <v>13</v>
      </c>
      <c r="HC3" s="123">
        <v>13</v>
      </c>
      <c r="HD3" s="123">
        <v>13</v>
      </c>
      <c r="HE3" s="123">
        <v>13</v>
      </c>
      <c r="HF3" s="123">
        <v>13</v>
      </c>
      <c r="HG3" s="123">
        <v>13</v>
      </c>
      <c r="HH3" s="123">
        <v>13</v>
      </c>
      <c r="HI3" s="123">
        <v>13</v>
      </c>
      <c r="HJ3" s="123">
        <v>13</v>
      </c>
    </row>
    <row r="4" spans="1:218" ht="18" customHeight="1">
      <c r="A4" s="124"/>
      <c r="B4" s="125"/>
      <c r="C4" s="125"/>
      <c r="D4" s="125"/>
      <c r="E4" s="125"/>
      <c r="F4" s="107"/>
      <c r="G4" s="107"/>
      <c r="H4" s="107"/>
      <c r="I4" s="107"/>
      <c r="J4" s="107"/>
      <c r="K4" s="126" t="s">
        <v>77</v>
      </c>
      <c r="L4" s="127" t="s">
        <v>159</v>
      </c>
      <c r="M4" s="127" t="s">
        <v>159</v>
      </c>
      <c r="N4" s="127" t="s">
        <v>159</v>
      </c>
      <c r="O4" s="127" t="s">
        <v>159</v>
      </c>
      <c r="P4" s="127" t="s">
        <v>159</v>
      </c>
      <c r="Q4" s="127" t="s">
        <v>159</v>
      </c>
      <c r="R4" s="127" t="s">
        <v>159</v>
      </c>
      <c r="S4" s="127" t="s">
        <v>159</v>
      </c>
      <c r="T4" s="127" t="s">
        <v>159</v>
      </c>
      <c r="U4" s="127" t="s">
        <v>159</v>
      </c>
      <c r="V4" s="127" t="s">
        <v>159</v>
      </c>
      <c r="W4" s="127" t="s">
        <v>188</v>
      </c>
      <c r="X4" s="127" t="s">
        <v>188</v>
      </c>
      <c r="Y4" s="127" t="s">
        <v>188</v>
      </c>
      <c r="Z4" s="127" t="s">
        <v>188</v>
      </c>
      <c r="AA4" s="127" t="s">
        <v>188</v>
      </c>
      <c r="AB4" s="127" t="s">
        <v>188</v>
      </c>
      <c r="AC4" s="127" t="s">
        <v>188</v>
      </c>
      <c r="AD4" s="127" t="s">
        <v>188</v>
      </c>
      <c r="AE4" s="127" t="s">
        <v>188</v>
      </c>
      <c r="AF4" s="127" t="s">
        <v>188</v>
      </c>
      <c r="AG4" s="127" t="s">
        <v>188</v>
      </c>
      <c r="AH4" s="127" t="s">
        <v>188</v>
      </c>
      <c r="AI4" s="127" t="s">
        <v>188</v>
      </c>
      <c r="AJ4" s="127" t="s">
        <v>188</v>
      </c>
      <c r="AK4" s="127" t="s">
        <v>188</v>
      </c>
      <c r="AL4" s="127" t="s">
        <v>188</v>
      </c>
      <c r="AM4" s="127" t="s">
        <v>188</v>
      </c>
      <c r="AN4" s="127" t="s">
        <v>188</v>
      </c>
      <c r="AO4" s="127" t="s">
        <v>188</v>
      </c>
      <c r="AP4" s="127" t="s">
        <v>188</v>
      </c>
      <c r="AQ4" s="127" t="s">
        <v>188</v>
      </c>
      <c r="AR4" s="127" t="s">
        <v>188</v>
      </c>
      <c r="AS4" s="127" t="s">
        <v>188</v>
      </c>
      <c r="AT4" s="127" t="s">
        <v>188</v>
      </c>
      <c r="AU4" s="127" t="s">
        <v>188</v>
      </c>
      <c r="AV4" s="127" t="s">
        <v>188</v>
      </c>
      <c r="AW4" s="127" t="s">
        <v>188</v>
      </c>
      <c r="AX4" s="127" t="s">
        <v>188</v>
      </c>
      <c r="AY4" s="127" t="s">
        <v>188</v>
      </c>
      <c r="AZ4" s="127" t="s">
        <v>188</v>
      </c>
      <c r="BA4" s="127" t="s">
        <v>188</v>
      </c>
      <c r="BB4" s="127" t="s">
        <v>188</v>
      </c>
      <c r="BC4" s="127" t="s">
        <v>188</v>
      </c>
      <c r="BD4" s="127" t="s">
        <v>188</v>
      </c>
      <c r="BE4" s="127" t="s">
        <v>159</v>
      </c>
      <c r="BF4" s="127" t="s">
        <v>159</v>
      </c>
      <c r="BG4" s="127" t="s">
        <v>159</v>
      </c>
      <c r="BH4" s="127" t="s">
        <v>159</v>
      </c>
      <c r="BI4" s="127" t="s">
        <v>159</v>
      </c>
      <c r="BJ4" s="127" t="s">
        <v>159</v>
      </c>
      <c r="BK4" s="127" t="s">
        <v>159</v>
      </c>
      <c r="BL4" s="127" t="s">
        <v>159</v>
      </c>
      <c r="BM4" s="127" t="s">
        <v>159</v>
      </c>
      <c r="BN4" s="127" t="s">
        <v>159</v>
      </c>
      <c r="BO4" s="127" t="s">
        <v>159</v>
      </c>
      <c r="BP4" s="127" t="s">
        <v>188</v>
      </c>
      <c r="BQ4" s="127" t="s">
        <v>188</v>
      </c>
      <c r="BR4" s="127" t="s">
        <v>188</v>
      </c>
      <c r="BS4" s="127" t="s">
        <v>188</v>
      </c>
      <c r="BT4" s="127" t="s">
        <v>188</v>
      </c>
      <c r="BU4" s="127" t="s">
        <v>188</v>
      </c>
      <c r="BV4" s="127" t="s">
        <v>188</v>
      </c>
      <c r="BW4" s="127" t="s">
        <v>188</v>
      </c>
      <c r="BX4" s="127" t="s">
        <v>188</v>
      </c>
      <c r="BY4" s="127" t="s">
        <v>188</v>
      </c>
      <c r="BZ4" s="127"/>
      <c r="CA4" s="127" t="s">
        <v>188</v>
      </c>
      <c r="CB4" s="127" t="s">
        <v>188</v>
      </c>
      <c r="CC4" s="127" t="s">
        <v>188</v>
      </c>
      <c r="CD4" s="127" t="s">
        <v>188</v>
      </c>
      <c r="CE4" s="127" t="s">
        <v>188</v>
      </c>
      <c r="CF4" s="127" t="s">
        <v>188</v>
      </c>
      <c r="CG4" s="127" t="s">
        <v>188</v>
      </c>
      <c r="CH4" s="127" t="s">
        <v>188</v>
      </c>
      <c r="CI4" s="127" t="s">
        <v>188</v>
      </c>
      <c r="CJ4" s="127" t="s">
        <v>188</v>
      </c>
      <c r="CK4" s="127" t="s">
        <v>188</v>
      </c>
      <c r="CL4" s="127" t="s">
        <v>188</v>
      </c>
      <c r="CM4" s="127" t="s">
        <v>188</v>
      </c>
      <c r="CN4" s="127" t="s">
        <v>188</v>
      </c>
      <c r="CO4" s="127" t="s">
        <v>188</v>
      </c>
      <c r="CP4" s="127" t="s">
        <v>188</v>
      </c>
      <c r="CQ4" s="127" t="s">
        <v>188</v>
      </c>
      <c r="CR4" s="127" t="s">
        <v>188</v>
      </c>
      <c r="CS4" s="127" t="s">
        <v>188</v>
      </c>
      <c r="CT4" s="127" t="s">
        <v>188</v>
      </c>
      <c r="CU4" s="127" t="s">
        <v>188</v>
      </c>
      <c r="CV4" s="127" t="s">
        <v>188</v>
      </c>
      <c r="CW4" s="127" t="s">
        <v>188</v>
      </c>
      <c r="CX4" s="127" t="s">
        <v>188</v>
      </c>
      <c r="CY4" s="127" t="s">
        <v>188</v>
      </c>
      <c r="CZ4" s="127" t="s">
        <v>188</v>
      </c>
      <c r="DA4" s="127" t="s">
        <v>159</v>
      </c>
      <c r="DB4" s="127" t="s">
        <v>159</v>
      </c>
      <c r="DC4" s="127" t="s">
        <v>159</v>
      </c>
      <c r="DD4" s="127" t="s">
        <v>159</v>
      </c>
      <c r="DE4" s="127" t="s">
        <v>159</v>
      </c>
      <c r="DF4" s="127" t="s">
        <v>159</v>
      </c>
      <c r="DG4" s="127" t="s">
        <v>159</v>
      </c>
      <c r="DH4" s="127" t="s">
        <v>159</v>
      </c>
      <c r="DI4" s="127" t="s">
        <v>159</v>
      </c>
      <c r="DJ4" s="127" t="s">
        <v>159</v>
      </c>
      <c r="DK4" s="127" t="s">
        <v>159</v>
      </c>
      <c r="DL4" s="127" t="s">
        <v>159</v>
      </c>
      <c r="DM4" s="127" t="s">
        <v>188</v>
      </c>
      <c r="DN4" s="127" t="s">
        <v>188</v>
      </c>
      <c r="DO4" s="127" t="s">
        <v>188</v>
      </c>
      <c r="DP4" s="127" t="s">
        <v>188</v>
      </c>
      <c r="DQ4" s="127" t="s">
        <v>188</v>
      </c>
      <c r="DR4" s="127" t="s">
        <v>188</v>
      </c>
      <c r="DS4" s="127" t="s">
        <v>188</v>
      </c>
      <c r="DT4" s="127" t="s">
        <v>188</v>
      </c>
      <c r="DU4" s="127" t="s">
        <v>188</v>
      </c>
      <c r="DV4" s="127" t="s">
        <v>188</v>
      </c>
      <c r="DW4" s="127" t="s">
        <v>188</v>
      </c>
      <c r="DX4" s="127" t="s">
        <v>188</v>
      </c>
      <c r="DY4" s="127" t="s">
        <v>188</v>
      </c>
      <c r="DZ4" s="127" t="s">
        <v>188</v>
      </c>
      <c r="EA4" s="127" t="s">
        <v>188</v>
      </c>
      <c r="EB4" s="127" t="s">
        <v>188</v>
      </c>
      <c r="EC4" s="127" t="s">
        <v>188</v>
      </c>
      <c r="ED4" s="127" t="s">
        <v>188</v>
      </c>
      <c r="EE4" s="127" t="s">
        <v>188</v>
      </c>
      <c r="EF4" s="127" t="s">
        <v>188</v>
      </c>
      <c r="EG4" s="127" t="s">
        <v>188</v>
      </c>
      <c r="EH4" s="127" t="s">
        <v>188</v>
      </c>
      <c r="EI4" s="127" t="s">
        <v>188</v>
      </c>
      <c r="EJ4" s="127" t="s">
        <v>188</v>
      </c>
      <c r="EK4" s="127" t="s">
        <v>188</v>
      </c>
      <c r="EL4" s="127" t="s">
        <v>188</v>
      </c>
      <c r="EM4" s="127" t="s">
        <v>188</v>
      </c>
      <c r="EN4" s="127" t="s">
        <v>188</v>
      </c>
      <c r="EO4" s="127" t="s">
        <v>188</v>
      </c>
      <c r="EP4" s="127" t="s">
        <v>188</v>
      </c>
      <c r="EQ4" s="127" t="s">
        <v>188</v>
      </c>
      <c r="ER4" s="127" t="s">
        <v>188</v>
      </c>
      <c r="ES4" s="127" t="s">
        <v>188</v>
      </c>
      <c r="ET4" s="127" t="s">
        <v>159</v>
      </c>
      <c r="EU4" s="127" t="s">
        <v>159</v>
      </c>
      <c r="EV4" s="127" t="s">
        <v>159</v>
      </c>
      <c r="EW4" s="127" t="s">
        <v>159</v>
      </c>
      <c r="EX4" s="127" t="s">
        <v>159</v>
      </c>
      <c r="EY4" s="127" t="s">
        <v>159</v>
      </c>
      <c r="EZ4" s="127" t="s">
        <v>159</v>
      </c>
      <c r="FA4" s="127" t="s">
        <v>159</v>
      </c>
      <c r="FB4" s="127" t="s">
        <v>159</v>
      </c>
      <c r="FC4" s="127" t="s">
        <v>159</v>
      </c>
      <c r="FD4" s="127" t="s">
        <v>159</v>
      </c>
      <c r="FE4" s="127" t="s">
        <v>188</v>
      </c>
      <c r="FF4" s="127" t="s">
        <v>188</v>
      </c>
      <c r="FG4" s="127" t="s">
        <v>188</v>
      </c>
      <c r="FH4" s="127" t="s">
        <v>188</v>
      </c>
      <c r="FI4" s="127" t="s">
        <v>188</v>
      </c>
      <c r="FJ4" s="127" t="s">
        <v>188</v>
      </c>
      <c r="FK4" s="127" t="s">
        <v>188</v>
      </c>
      <c r="FL4" s="127" t="s">
        <v>188</v>
      </c>
      <c r="FM4" s="127" t="s">
        <v>188</v>
      </c>
      <c r="FN4" s="127" t="s">
        <v>188</v>
      </c>
      <c r="FO4" s="127" t="s">
        <v>188</v>
      </c>
      <c r="FP4" s="127" t="s">
        <v>188</v>
      </c>
      <c r="FQ4" s="127" t="s">
        <v>188</v>
      </c>
      <c r="FR4" s="127" t="s">
        <v>188</v>
      </c>
      <c r="FS4" s="127" t="s">
        <v>188</v>
      </c>
      <c r="FT4" s="127" t="s">
        <v>188</v>
      </c>
      <c r="FU4" s="127" t="s">
        <v>188</v>
      </c>
      <c r="FV4" s="127" t="s">
        <v>188</v>
      </c>
      <c r="FW4" s="127" t="s">
        <v>188</v>
      </c>
      <c r="FX4" s="127" t="s">
        <v>188</v>
      </c>
      <c r="FY4" s="127" t="s">
        <v>188</v>
      </c>
      <c r="FZ4" s="127" t="s">
        <v>188</v>
      </c>
      <c r="GA4" s="127" t="s">
        <v>188</v>
      </c>
      <c r="GB4" s="127" t="s">
        <v>188</v>
      </c>
      <c r="GC4" s="127" t="s">
        <v>188</v>
      </c>
      <c r="GD4" s="127" t="s">
        <v>188</v>
      </c>
      <c r="GE4" s="127" t="s">
        <v>188</v>
      </c>
      <c r="GF4" s="127" t="s">
        <v>188</v>
      </c>
      <c r="GG4" s="127" t="s">
        <v>188</v>
      </c>
      <c r="GH4" s="127" t="s">
        <v>188</v>
      </c>
      <c r="GI4" s="127" t="s">
        <v>188</v>
      </c>
      <c r="GJ4" s="127" t="s">
        <v>188</v>
      </c>
      <c r="GK4" s="127" t="s">
        <v>188</v>
      </c>
      <c r="GL4" s="127" t="s">
        <v>188</v>
      </c>
      <c r="GM4" s="127" t="s">
        <v>188</v>
      </c>
      <c r="GN4" s="127" t="s">
        <v>188</v>
      </c>
      <c r="GO4" s="127" t="s">
        <v>188</v>
      </c>
      <c r="GP4" s="127" t="s">
        <v>188</v>
      </c>
      <c r="GQ4" s="127" t="s">
        <v>188</v>
      </c>
      <c r="GR4" s="127" t="s">
        <v>188</v>
      </c>
      <c r="GS4" s="127" t="s">
        <v>188</v>
      </c>
      <c r="GT4" s="127" t="s">
        <v>188</v>
      </c>
      <c r="GU4" s="127" t="s">
        <v>188</v>
      </c>
      <c r="GV4" s="127" t="s">
        <v>188</v>
      </c>
      <c r="GW4" s="127" t="s">
        <v>188</v>
      </c>
      <c r="GX4" s="127" t="s">
        <v>159</v>
      </c>
      <c r="GY4" s="127" t="s">
        <v>159</v>
      </c>
      <c r="GZ4" s="127" t="s">
        <v>159</v>
      </c>
      <c r="HA4" s="127" t="s">
        <v>159</v>
      </c>
      <c r="HB4" s="127" t="s">
        <v>159</v>
      </c>
      <c r="HC4" s="127" t="s">
        <v>188</v>
      </c>
      <c r="HD4" s="127" t="s">
        <v>188</v>
      </c>
      <c r="HE4" s="127" t="s">
        <v>188</v>
      </c>
      <c r="HF4" s="127" t="s">
        <v>188</v>
      </c>
      <c r="HG4" s="127" t="s">
        <v>188</v>
      </c>
      <c r="HH4" s="127" t="s">
        <v>188</v>
      </c>
      <c r="HI4" s="127" t="s">
        <v>188</v>
      </c>
      <c r="HJ4" s="127" t="s">
        <v>188</v>
      </c>
    </row>
    <row r="5" spans="1:218" ht="32.4">
      <c r="A5" s="128" t="s">
        <v>9</v>
      </c>
      <c r="B5" s="129" t="s">
        <v>13</v>
      </c>
      <c r="C5" s="128" t="s">
        <v>98</v>
      </c>
      <c r="D5" s="129" t="s">
        <v>93</v>
      </c>
      <c r="E5" s="128" t="s">
        <v>73</v>
      </c>
      <c r="F5" s="128" t="s">
        <v>14</v>
      </c>
      <c r="G5" s="129" t="s">
        <v>55</v>
      </c>
      <c r="H5" s="129" t="s">
        <v>56</v>
      </c>
      <c r="I5" s="129" t="s">
        <v>57</v>
      </c>
      <c r="J5" s="129" t="s">
        <v>58</v>
      </c>
      <c r="K5" s="129" t="s">
        <v>100</v>
      </c>
    </row>
    <row r="6" spans="1:218" s="131" customFormat="1" ht="34.200000000000003">
      <c r="A6" s="130" t="s">
        <v>19</v>
      </c>
      <c r="B6" s="130" t="s">
        <v>97</v>
      </c>
      <c r="C6" s="130" t="s">
        <v>107</v>
      </c>
      <c r="D6" s="130" t="s">
        <v>108</v>
      </c>
      <c r="E6" s="130" t="s">
        <v>81</v>
      </c>
      <c r="F6" s="130" t="s">
        <v>70</v>
      </c>
      <c r="G6" s="130" t="s">
        <v>441</v>
      </c>
      <c r="H6" s="130" t="s">
        <v>23</v>
      </c>
      <c r="I6" s="130" t="s">
        <v>89</v>
      </c>
      <c r="J6" s="130" t="s">
        <v>85</v>
      </c>
      <c r="K6" s="130" t="s">
        <v>99</v>
      </c>
    </row>
    <row r="7" spans="1:218">
      <c r="A7" s="100" t="s">
        <v>228</v>
      </c>
      <c r="C7" s="100" t="s">
        <v>249</v>
      </c>
      <c r="E7" s="81" t="s">
        <v>129</v>
      </c>
      <c r="F7" s="81" t="s">
        <v>130</v>
      </c>
      <c r="L7" s="81">
        <v>49.756999999999998</v>
      </c>
      <c r="M7" s="81">
        <v>1.3149999999999999</v>
      </c>
      <c r="N7" s="81">
        <v>14.680999999999999</v>
      </c>
      <c r="O7" s="81">
        <v>13.26</v>
      </c>
      <c r="P7" s="81">
        <v>0.224</v>
      </c>
      <c r="Q7" s="81">
        <v>8.1370000000000005</v>
      </c>
      <c r="R7" s="81">
        <v>11.766</v>
      </c>
      <c r="S7" s="81">
        <v>2.2389999999999999</v>
      </c>
      <c r="T7" s="81">
        <v>0.318</v>
      </c>
      <c r="U7" s="81">
        <v>9.0999999999999998E-2</v>
      </c>
      <c r="V7" s="102">
        <v>2.3497435447810031</v>
      </c>
      <c r="W7" s="102">
        <v>15.129404454496941</v>
      </c>
      <c r="X7" s="102">
        <v>57.69817822794046</v>
      </c>
      <c r="Y7" s="102">
        <v>380.20198947046725</v>
      </c>
      <c r="Z7" s="102">
        <v>249.94976143183152</v>
      </c>
      <c r="AA7" s="102">
        <v>53.085541464470218</v>
      </c>
      <c r="AB7" s="102">
        <v>121.88630528156747</v>
      </c>
      <c r="AC7" s="102">
        <v>94.031869107201118</v>
      </c>
      <c r="AD7" s="102">
        <v>17.370161290491026</v>
      </c>
      <c r="AE7" s="102">
        <v>7.0967271157874681</v>
      </c>
      <c r="AF7" s="102">
        <v>84.379392198970663</v>
      </c>
      <c r="AG7" s="102">
        <v>36.044379964599301</v>
      </c>
      <c r="AH7" s="102">
        <v>73.254703091868322</v>
      </c>
      <c r="AI7" s="102">
        <v>1.4427715742496907</v>
      </c>
      <c r="AJ7" s="102">
        <v>0.36330146504093663</v>
      </c>
      <c r="AK7" s="102">
        <v>25.853031614241168</v>
      </c>
      <c r="AL7" s="102">
        <v>2.075793357333505</v>
      </c>
      <c r="AM7" s="102">
        <v>6.1672498309355586</v>
      </c>
      <c r="AN7" s="102">
        <v>1.1450455303845881</v>
      </c>
      <c r="AO7" s="102">
        <v>6.769366622656853</v>
      </c>
      <c r="AP7" s="102">
        <v>2.7835319623964105</v>
      </c>
      <c r="AQ7" s="102">
        <v>1.1886276453183537</v>
      </c>
      <c r="AR7" s="102">
        <v>4.4306293402114232</v>
      </c>
      <c r="AS7" s="102">
        <v>0.8749399647661763</v>
      </c>
      <c r="AT7" s="102">
        <v>5.6838312373873299</v>
      </c>
      <c r="AU7" s="102">
        <v>1.3108749848523247</v>
      </c>
      <c r="AV7" s="102">
        <v>3.6169003880986064</v>
      </c>
      <c r="AW7" s="102">
        <v>0.53393995581167475</v>
      </c>
      <c r="AX7" s="102">
        <v>3.5717329403273697</v>
      </c>
      <c r="AY7" s="102">
        <v>0.48943773521586087</v>
      </c>
      <c r="AZ7" s="102">
        <v>1.8926347829011829</v>
      </c>
      <c r="BA7" s="102">
        <v>7.542551662134428E-2</v>
      </c>
      <c r="BB7" s="102">
        <v>0.51240683859669878</v>
      </c>
      <c r="BC7" s="102">
        <v>0.2380111157060768</v>
      </c>
      <c r="BD7" s="102">
        <v>0.11096018562689762</v>
      </c>
    </row>
    <row r="8" spans="1:218">
      <c r="A8" s="100" t="s">
        <v>229</v>
      </c>
      <c r="C8" s="100" t="s">
        <v>233</v>
      </c>
      <c r="E8" s="81" t="s">
        <v>129</v>
      </c>
      <c r="F8" s="81" t="s">
        <v>130</v>
      </c>
      <c r="L8" s="81">
        <v>48.59</v>
      </c>
      <c r="M8" s="81">
        <v>1.016</v>
      </c>
      <c r="N8" s="81">
        <v>13.395</v>
      </c>
      <c r="O8" s="81">
        <v>14.257</v>
      </c>
      <c r="P8" s="81">
        <v>0.40600000000000003</v>
      </c>
      <c r="Q8" s="81">
        <v>9.5</v>
      </c>
      <c r="R8" s="81">
        <v>8.1820000000000004</v>
      </c>
      <c r="S8" s="81">
        <v>1.8220000000000001</v>
      </c>
      <c r="T8" s="81">
        <v>0.48499999999999999</v>
      </c>
      <c r="U8" s="81">
        <v>0.123</v>
      </c>
      <c r="V8" s="102">
        <v>8.6933752291176152</v>
      </c>
      <c r="W8" s="102">
        <v>34.538974495821577</v>
      </c>
      <c r="X8" s="102">
        <v>52.113119776781602</v>
      </c>
      <c r="Y8" s="102">
        <v>332.48255893652606</v>
      </c>
      <c r="Z8" s="102">
        <v>291.42257033411477</v>
      </c>
      <c r="AA8" s="102">
        <v>50.457942785993644</v>
      </c>
      <c r="AB8" s="102">
        <v>106.28366392306026</v>
      </c>
      <c r="AC8" s="102">
        <v>74.450802147823239</v>
      </c>
      <c r="AD8" s="102">
        <v>15.840629738296093</v>
      </c>
      <c r="AE8" s="102">
        <v>9.3326503207673941</v>
      </c>
      <c r="AF8" s="102">
        <v>62.371557696892758</v>
      </c>
      <c r="AG8" s="102">
        <v>28.124696127018282</v>
      </c>
      <c r="AH8" s="102">
        <v>56.451995950779605</v>
      </c>
      <c r="AI8" s="102">
        <v>0.72730538801751854</v>
      </c>
      <c r="AJ8" s="102">
        <v>0.21323687766393068</v>
      </c>
      <c r="AK8" s="102">
        <v>16.75511251031152</v>
      </c>
      <c r="AL8" s="102">
        <v>1.3958460685419003</v>
      </c>
      <c r="AM8" s="102">
        <v>4.7016405857308836</v>
      </c>
      <c r="AN8" s="102">
        <v>0.91229238244295952</v>
      </c>
      <c r="AO8" s="102">
        <v>5.56507491567596</v>
      </c>
      <c r="AP8" s="102">
        <v>2.4242679854764648</v>
      </c>
      <c r="AQ8" s="102">
        <v>1.0485164046759794</v>
      </c>
      <c r="AR8" s="102">
        <v>3.4980112703071424</v>
      </c>
      <c r="AS8" s="102">
        <v>0.71527837484673185</v>
      </c>
      <c r="AT8" s="102">
        <v>4.7186717597786219</v>
      </c>
      <c r="AU8" s="102">
        <v>1.0786821027934914</v>
      </c>
      <c r="AV8" s="102">
        <v>2.9448274483984296</v>
      </c>
      <c r="AW8" s="102">
        <v>0.46743504772784994</v>
      </c>
      <c r="AX8" s="102">
        <v>2.9108670220087234</v>
      </c>
      <c r="AY8" s="102">
        <v>0.39020535546554552</v>
      </c>
      <c r="AZ8" s="102">
        <v>1.628736764406846</v>
      </c>
      <c r="BA8" s="102">
        <v>4.6743862432195304E-2</v>
      </c>
      <c r="BB8" s="102">
        <v>0.35144399763522455</v>
      </c>
      <c r="BC8" s="102">
        <v>0.13977030027248832</v>
      </c>
      <c r="BD8" s="102">
        <v>5.3631821231461124E-2</v>
      </c>
    </row>
    <row r="9" spans="1:218">
      <c r="A9" s="100" t="s">
        <v>230</v>
      </c>
      <c r="C9" s="100" t="s">
        <v>234</v>
      </c>
      <c r="E9" s="81" t="s">
        <v>129</v>
      </c>
      <c r="F9" s="81" t="s">
        <v>130</v>
      </c>
      <c r="L9" s="81">
        <v>49.637999999999998</v>
      </c>
      <c r="M9" s="81">
        <v>1.0980000000000001</v>
      </c>
      <c r="N9" s="81">
        <v>14.738</v>
      </c>
      <c r="O9" s="81">
        <v>12.284000000000001</v>
      </c>
      <c r="P9" s="81">
        <v>0.26600000000000001</v>
      </c>
      <c r="Q9" s="81">
        <v>10.464</v>
      </c>
      <c r="R9" s="81">
        <v>8.8539999999999992</v>
      </c>
      <c r="S9" s="81">
        <v>2.2570000000000001</v>
      </c>
      <c r="T9" s="81">
        <v>0.26900000000000002</v>
      </c>
      <c r="U9" s="81">
        <v>9.5000000000000001E-2</v>
      </c>
      <c r="V9" s="102">
        <v>6.2169253346378381</v>
      </c>
      <c r="W9" s="102">
        <v>11.022639592383506</v>
      </c>
      <c r="X9" s="102">
        <v>50.7332302866444</v>
      </c>
      <c r="Y9" s="102">
        <v>302.17681229901956</v>
      </c>
      <c r="Z9" s="102">
        <v>316.33662369342215</v>
      </c>
      <c r="AA9" s="102">
        <v>56.026757562194874</v>
      </c>
      <c r="AB9" s="102">
        <v>107.14940063391776</v>
      </c>
      <c r="AC9" s="102">
        <v>83.471873559384647</v>
      </c>
      <c r="AD9" s="102">
        <v>15.725015347341349</v>
      </c>
      <c r="AE9" s="102">
        <v>2.5598129569146932</v>
      </c>
      <c r="AF9" s="102">
        <v>79.124754839446453</v>
      </c>
      <c r="AG9" s="102">
        <v>25.762102460691864</v>
      </c>
      <c r="AH9" s="102">
        <v>60.927021346202729</v>
      </c>
      <c r="AI9" s="102">
        <v>1.7140716261583873</v>
      </c>
      <c r="AJ9" s="102">
        <v>7.2078382381160377E-2</v>
      </c>
      <c r="AK9" s="102">
        <v>33.453288576661244</v>
      </c>
      <c r="AL9" s="102">
        <v>2.1626992668251952</v>
      </c>
      <c r="AM9" s="102">
        <v>6.0421340132772832</v>
      </c>
      <c r="AN9" s="102">
        <v>1.0585834877556057</v>
      </c>
      <c r="AO9" s="102">
        <v>5.9836898098980376</v>
      </c>
      <c r="AP9" s="102">
        <v>2.4451692016763706</v>
      </c>
      <c r="AQ9" s="102">
        <v>0.98978669299297029</v>
      </c>
      <c r="AR9" s="102">
        <v>3.5310691159818024</v>
      </c>
      <c r="AS9" s="102">
        <v>0.68070033244933759</v>
      </c>
      <c r="AT9" s="102">
        <v>4.3615633088407169</v>
      </c>
      <c r="AU9" s="102">
        <v>0.96465131174835539</v>
      </c>
      <c r="AV9" s="102">
        <v>2.6597853530432327</v>
      </c>
      <c r="AW9" s="102">
        <v>0.38853482668788003</v>
      </c>
      <c r="AX9" s="102">
        <v>2.4768760174971227</v>
      </c>
      <c r="AY9" s="102">
        <v>0.33163527449016134</v>
      </c>
      <c r="AZ9" s="102">
        <v>1.6320865646588663</v>
      </c>
      <c r="BA9" s="102">
        <v>0.10745101211849638</v>
      </c>
      <c r="BB9" s="102">
        <v>0.74157112001873371</v>
      </c>
      <c r="BC9" s="102">
        <v>0.32899375023728367</v>
      </c>
      <c r="BD9" s="102">
        <v>5.7587685064906614E-2</v>
      </c>
    </row>
    <row r="10" spans="1:218">
      <c r="A10" s="100" t="s">
        <v>231</v>
      </c>
      <c r="C10" s="100" t="s">
        <v>235</v>
      </c>
      <c r="E10" s="81" t="s">
        <v>129</v>
      </c>
      <c r="F10" s="81" t="s">
        <v>130</v>
      </c>
      <c r="L10" s="81">
        <v>49.496000000000002</v>
      </c>
      <c r="M10" s="81">
        <v>0.85499999999999998</v>
      </c>
      <c r="N10" s="81">
        <v>16.788</v>
      </c>
      <c r="O10" s="81">
        <v>10.632999999999999</v>
      </c>
      <c r="P10" s="81">
        <v>0.24</v>
      </c>
      <c r="Q10" s="81">
        <v>10.529</v>
      </c>
      <c r="R10" s="81">
        <v>9.9009999999999998</v>
      </c>
      <c r="S10" s="81">
        <v>1.829</v>
      </c>
      <c r="T10" s="81">
        <v>0.191</v>
      </c>
      <c r="U10" s="81">
        <v>7.1999999999999995E-2</v>
      </c>
      <c r="V10" s="102">
        <v>8.4402515723270373</v>
      </c>
      <c r="W10" s="102">
        <v>6.4109108603393699</v>
      </c>
      <c r="X10" s="102">
        <v>46.199736676345552</v>
      </c>
      <c r="Y10" s="102">
        <v>254.46943376961909</v>
      </c>
      <c r="Z10" s="102">
        <v>305.13951078289989</v>
      </c>
      <c r="AA10" s="102">
        <v>51.035722652273044</v>
      </c>
      <c r="AB10" s="102">
        <v>141.38604649392113</v>
      </c>
      <c r="AC10" s="102">
        <v>68.800346647494905</v>
      </c>
      <c r="AD10" s="102">
        <v>15.829705943193495</v>
      </c>
      <c r="AE10" s="102">
        <v>1.7382278986848019</v>
      </c>
      <c r="AF10" s="102">
        <v>73.271206726991863</v>
      </c>
      <c r="AG10" s="102">
        <v>24.67306757674902</v>
      </c>
      <c r="AH10" s="102">
        <v>43.644964706563186</v>
      </c>
      <c r="AI10" s="102">
        <v>0.59109114615865532</v>
      </c>
      <c r="AJ10" s="102">
        <v>5.4033255935019148E-2</v>
      </c>
      <c r="AK10" s="102">
        <v>15.353672126559058</v>
      </c>
      <c r="AL10" s="102">
        <v>1.1641971653590029</v>
      </c>
      <c r="AM10" s="102">
        <v>3.4631444435919696</v>
      </c>
      <c r="AN10" s="102">
        <v>0.69246332204182115</v>
      </c>
      <c r="AO10" s="102">
        <v>4.1469348814156586</v>
      </c>
      <c r="AP10" s="102">
        <v>1.860406565585214</v>
      </c>
      <c r="AQ10" s="102">
        <v>0.81250266017830874</v>
      </c>
      <c r="AR10" s="102">
        <v>3.0125768883186526</v>
      </c>
      <c r="AS10" s="102">
        <v>0.58646177254112408</v>
      </c>
      <c r="AT10" s="102">
        <v>3.8465622627586877</v>
      </c>
      <c r="AU10" s="102">
        <v>0.8865396808760615</v>
      </c>
      <c r="AV10" s="102">
        <v>2.4359183249515315</v>
      </c>
      <c r="AW10" s="102">
        <v>0.3571384631518012</v>
      </c>
      <c r="AX10" s="102">
        <v>2.4143875130170005</v>
      </c>
      <c r="AY10" s="102">
        <v>0.31513687925803013</v>
      </c>
      <c r="AZ10" s="102">
        <v>1.2406495043523069</v>
      </c>
      <c r="BA10" s="102">
        <v>3.7597930175297077E-2</v>
      </c>
      <c r="BB10" s="102">
        <v>0.39590433190288893</v>
      </c>
      <c r="BC10" s="102">
        <v>0.11724390781032178</v>
      </c>
      <c r="BD10" s="102">
        <v>2.8668127614235758E-2</v>
      </c>
    </row>
    <row r="11" spans="1:218">
      <c r="A11" s="100" t="s">
        <v>236</v>
      </c>
      <c r="C11" s="100" t="s">
        <v>237</v>
      </c>
      <c r="E11" s="81" t="s">
        <v>129</v>
      </c>
      <c r="F11" s="81" t="s">
        <v>130</v>
      </c>
      <c r="L11" s="81">
        <v>50.249000000000002</v>
      </c>
      <c r="M11" s="81">
        <v>1.109</v>
      </c>
      <c r="N11" s="81">
        <v>13.807</v>
      </c>
      <c r="O11" s="81">
        <v>12.771000000000001</v>
      </c>
      <c r="P11" s="81">
        <v>0.26800000000000002</v>
      </c>
      <c r="Q11" s="81">
        <v>9.6120000000000001</v>
      </c>
      <c r="R11" s="81">
        <v>10.539</v>
      </c>
      <c r="S11" s="81">
        <v>2.1320000000000001</v>
      </c>
      <c r="T11" s="81">
        <v>0.23400000000000001</v>
      </c>
      <c r="U11" s="81">
        <v>8.2000000000000003E-2</v>
      </c>
      <c r="V11" s="102">
        <v>7.0064208698461723</v>
      </c>
      <c r="W11" s="102">
        <v>9.2021987350962267</v>
      </c>
      <c r="X11" s="102">
        <v>58.022484355995516</v>
      </c>
      <c r="Y11" s="102">
        <v>355.90843287258969</v>
      </c>
      <c r="Z11" s="102">
        <v>340.56882934843691</v>
      </c>
      <c r="AA11" s="102">
        <v>54.107150397699243</v>
      </c>
      <c r="AB11" s="102">
        <v>93.980416429167875</v>
      </c>
      <c r="AC11" s="102">
        <v>82.312793716446819</v>
      </c>
      <c r="AD11" s="102">
        <v>15.794061493921459</v>
      </c>
      <c r="AE11" s="102">
        <v>2.9781362655796055</v>
      </c>
      <c r="AF11" s="102">
        <v>63.896842622805373</v>
      </c>
      <c r="AG11" s="102">
        <v>32.66258953215317</v>
      </c>
      <c r="AH11" s="102">
        <v>55.826496971472082</v>
      </c>
      <c r="AI11" s="102">
        <v>0.91847716264192636</v>
      </c>
      <c r="AJ11" s="102">
        <v>0.15268678011715098</v>
      </c>
      <c r="AK11" s="102">
        <v>10.949410724875099</v>
      </c>
      <c r="AL11" s="102">
        <v>1.5244063369352565</v>
      </c>
      <c r="AM11" s="102">
        <v>4.7764241022054081</v>
      </c>
      <c r="AN11" s="102">
        <v>0.88702646676750252</v>
      </c>
      <c r="AO11" s="102">
        <v>5.4705797219784946</v>
      </c>
      <c r="AP11" s="102">
        <v>2.4126557470955254</v>
      </c>
      <c r="AQ11" s="102">
        <v>1.0497999917176302</v>
      </c>
      <c r="AR11" s="102">
        <v>3.8024087416788186</v>
      </c>
      <c r="AS11" s="102">
        <v>0.77544857828803149</v>
      </c>
      <c r="AT11" s="102">
        <v>5.2197603254109657</v>
      </c>
      <c r="AU11" s="102">
        <v>1.2281546594556771</v>
      </c>
      <c r="AV11" s="102">
        <v>3.1588511082436708</v>
      </c>
      <c r="AW11" s="102">
        <v>0.50118760098626602</v>
      </c>
      <c r="AX11" s="102">
        <v>3.3296760148689399</v>
      </c>
      <c r="AY11" s="102">
        <v>0.44733134741400044</v>
      </c>
      <c r="AZ11" s="102">
        <v>1.6146276194955329</v>
      </c>
      <c r="BA11" s="102">
        <v>4.8791125462878983E-2</v>
      </c>
      <c r="BB11" s="102">
        <v>0.74366487108543577</v>
      </c>
      <c r="BC11" s="102">
        <v>0.19994310199614451</v>
      </c>
      <c r="BD11" s="102">
        <v>7.8009877822625126E-2</v>
      </c>
    </row>
    <row r="12" spans="1:218">
      <c r="A12" s="100" t="s">
        <v>238</v>
      </c>
      <c r="C12" s="100" t="s">
        <v>239</v>
      </c>
      <c r="E12" s="81" t="s">
        <v>129</v>
      </c>
      <c r="F12" s="81" t="s">
        <v>130</v>
      </c>
      <c r="L12" s="81">
        <v>49.631</v>
      </c>
      <c r="M12" s="81">
        <v>0.97599999999999998</v>
      </c>
      <c r="N12" s="81">
        <v>15.066000000000001</v>
      </c>
      <c r="O12" s="81">
        <v>12.057</v>
      </c>
      <c r="P12" s="81">
        <v>0.26</v>
      </c>
      <c r="Q12" s="81">
        <v>10.025</v>
      </c>
      <c r="R12" s="81">
        <v>10.509</v>
      </c>
      <c r="S12" s="81">
        <v>2.1219999999999999</v>
      </c>
      <c r="T12" s="81">
        <v>0.13700000000000001</v>
      </c>
      <c r="U12" s="81">
        <v>8.1000000000000003E-2</v>
      </c>
      <c r="V12" s="102">
        <v>5.0981219666595985</v>
      </c>
      <c r="W12" s="102">
        <v>0.1012276003843931</v>
      </c>
      <c r="X12" s="102">
        <v>42.624255459895579</v>
      </c>
      <c r="Y12" s="102">
        <v>270.88382873705115</v>
      </c>
      <c r="Z12" s="102">
        <v>263.76675917402105</v>
      </c>
      <c r="AA12" s="102">
        <v>51.191037632351531</v>
      </c>
      <c r="AB12" s="102">
        <v>54.665787318276166</v>
      </c>
      <c r="AC12" s="102">
        <v>73.761249336577308</v>
      </c>
      <c r="AD12" s="102">
        <v>14.754167175596411</v>
      </c>
      <c r="AE12" s="102">
        <v>0.92110951267346797</v>
      </c>
      <c r="AF12" s="102">
        <v>78.302738885590472</v>
      </c>
      <c r="AG12" s="102">
        <v>26.229199568223905</v>
      </c>
      <c r="AH12" s="102">
        <v>51.233243237151051</v>
      </c>
      <c r="AI12" s="102">
        <v>1.5552867011444595</v>
      </c>
      <c r="AJ12" s="102">
        <v>4.3282916057245643E-2</v>
      </c>
      <c r="AK12" s="102">
        <v>27.383598867405141</v>
      </c>
      <c r="AL12" s="102">
        <v>2.0338778179140347</v>
      </c>
      <c r="AM12" s="102">
        <v>5.1474578469323937</v>
      </c>
      <c r="AN12" s="102">
        <v>0.91119791693747976</v>
      </c>
      <c r="AO12" s="102">
        <v>5.2808837580075352</v>
      </c>
      <c r="AP12" s="102">
        <v>2.0651027546589718</v>
      </c>
      <c r="AQ12" s="102">
        <v>0.9214712048338215</v>
      </c>
      <c r="AR12" s="102">
        <v>3.1255371777128076</v>
      </c>
      <c r="AS12" s="102">
        <v>0.6417098800519182</v>
      </c>
      <c r="AT12" s="102">
        <v>4.2892874643710979</v>
      </c>
      <c r="AU12" s="102">
        <v>0.95635093644509317</v>
      </c>
      <c r="AV12" s="102">
        <v>2.7552860817390665</v>
      </c>
      <c r="AW12" s="102">
        <v>0.39075367591563159</v>
      </c>
      <c r="AX12" s="102">
        <v>2.5289894710201075</v>
      </c>
      <c r="AY12" s="102">
        <v>0.35421680912234293</v>
      </c>
      <c r="AZ12" s="102">
        <v>1.3727706934411072</v>
      </c>
      <c r="BA12" s="102">
        <v>8.5642671970318426E-2</v>
      </c>
      <c r="BB12" s="102">
        <v>0.53979451633254072</v>
      </c>
      <c r="BC12" s="102">
        <v>0.30284738639003089</v>
      </c>
      <c r="BD12" s="102">
        <v>5.3207718517955707E-2</v>
      </c>
    </row>
    <row r="13" spans="1:218">
      <c r="A13" s="100" t="s">
        <v>240</v>
      </c>
      <c r="C13" s="100" t="s">
        <v>241</v>
      </c>
      <c r="E13" s="81" t="s">
        <v>129</v>
      </c>
      <c r="F13" s="81" t="s">
        <v>130</v>
      </c>
      <c r="L13" s="81">
        <v>48.19</v>
      </c>
      <c r="M13" s="81">
        <v>0.755</v>
      </c>
      <c r="N13" s="81">
        <v>12.721</v>
      </c>
      <c r="O13" s="81">
        <v>11.811</v>
      </c>
      <c r="P13" s="81">
        <v>0.32400000000000001</v>
      </c>
      <c r="Q13" s="81">
        <v>14.552</v>
      </c>
      <c r="R13" s="81">
        <v>7.6029999999999998</v>
      </c>
      <c r="S13" s="81">
        <v>1.6930000000000001</v>
      </c>
      <c r="T13" s="81">
        <v>0.13</v>
      </c>
      <c r="U13" s="81">
        <v>6.8000000000000005E-2</v>
      </c>
      <c r="V13" s="102">
        <v>8.8933185111357922</v>
      </c>
      <c r="W13" s="102">
        <v>15.012929843715538</v>
      </c>
      <c r="X13" s="102">
        <v>46.757513975741922</v>
      </c>
      <c r="Y13" s="102">
        <v>242.65917514755765</v>
      </c>
      <c r="Z13" s="102">
        <v>504.81696210352203</v>
      </c>
      <c r="AA13" s="102">
        <v>64.626296936734889</v>
      </c>
      <c r="AB13" s="102">
        <v>95.076082203695378</v>
      </c>
      <c r="AC13" s="102">
        <v>75.438382491743241</v>
      </c>
      <c r="AD13" s="102">
        <v>14.274204725807545</v>
      </c>
      <c r="AE13" s="102">
        <v>0.81483017407852154</v>
      </c>
      <c r="AF13" s="102">
        <v>60.715569476514318</v>
      </c>
      <c r="AG13" s="102">
        <v>24.510466041456745</v>
      </c>
      <c r="AH13" s="102">
        <v>41.304581240882051</v>
      </c>
      <c r="AI13" s="102">
        <v>1.2946704901628465</v>
      </c>
      <c r="AJ13" s="102">
        <v>8.1696910620012192E-2</v>
      </c>
      <c r="AK13" s="102">
        <v>20.459337418988724</v>
      </c>
      <c r="AL13" s="102">
        <v>1.4612818817712117</v>
      </c>
      <c r="AM13" s="102">
        <v>3.7471002597235592</v>
      </c>
      <c r="AN13" s="102">
        <v>0.66873271638290332</v>
      </c>
      <c r="AO13" s="102">
        <v>4.1045752702117717</v>
      </c>
      <c r="AP13" s="102">
        <v>1.815163211816303</v>
      </c>
      <c r="AQ13" s="102">
        <v>0.75617994437192149</v>
      </c>
      <c r="AR13" s="102">
        <v>2.728603489707742</v>
      </c>
      <c r="AS13" s="102">
        <v>0.57849507614926299</v>
      </c>
      <c r="AT13" s="102">
        <v>3.693006672843012</v>
      </c>
      <c r="AU13" s="102">
        <v>0.86182344059563343</v>
      </c>
      <c r="AV13" s="102">
        <v>2.5141263069731465</v>
      </c>
      <c r="AW13" s="102">
        <v>0.35739907855062381</v>
      </c>
      <c r="AX13" s="102">
        <v>2.3244901961466957</v>
      </c>
      <c r="AY13" s="102">
        <v>0.33898184799682424</v>
      </c>
      <c r="AZ13" s="102">
        <v>1.1251086028897239</v>
      </c>
      <c r="BA13" s="102">
        <v>6.3048020286020592E-2</v>
      </c>
      <c r="BB13" s="102">
        <v>0.35055784049848726</v>
      </c>
      <c r="BC13" s="102">
        <v>0.21225300321155319</v>
      </c>
      <c r="BD13" s="102">
        <v>3.4579833022539967E-2</v>
      </c>
    </row>
    <row r="14" spans="1:218">
      <c r="A14" s="100" t="s">
        <v>242</v>
      </c>
      <c r="C14" s="100" t="s">
        <v>243</v>
      </c>
      <c r="E14" s="81" t="s">
        <v>129</v>
      </c>
      <c r="F14" s="81" t="s">
        <v>130</v>
      </c>
      <c r="L14" s="81">
        <v>50.703000000000003</v>
      </c>
      <c r="M14" s="81">
        <v>1.2929999999999999</v>
      </c>
      <c r="N14" s="81">
        <v>12.888999999999999</v>
      </c>
      <c r="O14" s="81">
        <v>14.169</v>
      </c>
      <c r="P14" s="81">
        <v>0.316</v>
      </c>
      <c r="Q14" s="81">
        <v>8.2750000000000004</v>
      </c>
      <c r="R14" s="81">
        <v>10.388999999999999</v>
      </c>
      <c r="S14" s="81">
        <v>2.2799999999999998</v>
      </c>
      <c r="T14" s="81">
        <v>0.16700000000000001</v>
      </c>
      <c r="U14" s="81">
        <v>0.10299999999999999</v>
      </c>
      <c r="V14" s="102">
        <v>3.7637047946325817</v>
      </c>
      <c r="W14" s="102">
        <v>8.832856315176274</v>
      </c>
      <c r="X14" s="102">
        <v>60.994262902075889</v>
      </c>
      <c r="Y14" s="102">
        <v>372.02043763354436</v>
      </c>
      <c r="Z14" s="102">
        <v>197.5090664738662</v>
      </c>
      <c r="AA14" s="102">
        <v>56.309743422833286</v>
      </c>
      <c r="AB14" s="102">
        <v>76.261239152093296</v>
      </c>
      <c r="AC14" s="102">
        <v>99.833162955309007</v>
      </c>
      <c r="AD14" s="102">
        <v>16.944588779420027</v>
      </c>
      <c r="AE14" s="102">
        <v>2.2232283425157213</v>
      </c>
      <c r="AF14" s="102">
        <v>74.869744972961911</v>
      </c>
      <c r="AG14" s="102">
        <v>38.050513350223945</v>
      </c>
      <c r="AH14" s="102">
        <v>77.61535406678037</v>
      </c>
      <c r="AI14" s="102">
        <v>1.574145487813233</v>
      </c>
      <c r="AJ14" s="102">
        <v>0.28772669915491711</v>
      </c>
      <c r="AK14" s="102">
        <v>25.64672165179346</v>
      </c>
      <c r="AL14" s="102">
        <v>3.1655225486576133</v>
      </c>
      <c r="AM14" s="102">
        <v>8.5845862293001396</v>
      </c>
      <c r="AN14" s="102">
        <v>1.4651558701657161</v>
      </c>
      <c r="AO14" s="102">
        <v>7.6895674164974199</v>
      </c>
      <c r="AP14" s="102">
        <v>3.0389669936547827</v>
      </c>
      <c r="AQ14" s="102">
        <v>1.2871447680868018</v>
      </c>
      <c r="AR14" s="102">
        <v>4.7463510688388713</v>
      </c>
      <c r="AS14" s="102">
        <v>0.95448968044342641</v>
      </c>
      <c r="AT14" s="102">
        <v>6.3165442295266034</v>
      </c>
      <c r="AU14" s="102">
        <v>1.4549211989432069</v>
      </c>
      <c r="AV14" s="102">
        <v>3.8163623446421449</v>
      </c>
      <c r="AW14" s="102">
        <v>0.5871463397760075</v>
      </c>
      <c r="AX14" s="102">
        <v>3.8052006451985529</v>
      </c>
      <c r="AY14" s="102">
        <v>0.52866048430862878</v>
      </c>
      <c r="AZ14" s="102">
        <v>2.206108248952197</v>
      </c>
      <c r="BA14" s="102">
        <v>0.10336423416182218</v>
      </c>
      <c r="BB14" s="102">
        <v>1.7405847765731499</v>
      </c>
      <c r="BC14" s="102">
        <v>0.8153174788668498</v>
      </c>
      <c r="BD14" s="102">
        <v>0.11883858571583257</v>
      </c>
    </row>
    <row r="15" spans="1:218">
      <c r="A15" s="100" t="s">
        <v>244</v>
      </c>
      <c r="C15" s="100" t="s">
        <v>245</v>
      </c>
      <c r="E15" s="81" t="s">
        <v>129</v>
      </c>
      <c r="F15" s="81" t="s">
        <v>130</v>
      </c>
      <c r="L15" s="81">
        <v>51.348999999999997</v>
      </c>
      <c r="M15" s="81">
        <v>1.482</v>
      </c>
      <c r="N15" s="81">
        <v>11.343999999999999</v>
      </c>
      <c r="O15" s="81">
        <v>15.385999999999999</v>
      </c>
      <c r="P15" s="81">
        <v>0.42299999999999999</v>
      </c>
      <c r="Q15" s="81">
        <v>7.8860000000000001</v>
      </c>
      <c r="R15" s="81">
        <v>7.7350000000000003</v>
      </c>
      <c r="S15" s="81">
        <v>2.1</v>
      </c>
      <c r="T15" s="81">
        <v>0.22800000000000001</v>
      </c>
      <c r="U15" s="81">
        <v>0.187</v>
      </c>
      <c r="V15" s="102">
        <v>5.9396174629042173</v>
      </c>
      <c r="W15" s="102">
        <v>23.333251217540507</v>
      </c>
      <c r="X15" s="102">
        <v>56.279892742353624</v>
      </c>
      <c r="Y15" s="102">
        <v>400.84927969073084</v>
      </c>
      <c r="Z15" s="102">
        <v>44.060292966588435</v>
      </c>
      <c r="AA15" s="102">
        <v>56.110213516177666</v>
      </c>
      <c r="AB15" s="102">
        <v>96.136055911080703</v>
      </c>
      <c r="AC15" s="102">
        <v>101.10542833269538</v>
      </c>
      <c r="AD15" s="102">
        <v>19.689794880054254</v>
      </c>
      <c r="AE15" s="102">
        <v>2.2069640330868832</v>
      </c>
      <c r="AF15" s="102">
        <v>75.962091484083416</v>
      </c>
      <c r="AG15" s="102">
        <v>46.52314196226714</v>
      </c>
      <c r="AH15" s="102">
        <v>102.83720592613254</v>
      </c>
      <c r="AI15" s="102">
        <v>2.7128720946006109</v>
      </c>
      <c r="AJ15" s="102">
        <v>0.21317270114333384</v>
      </c>
      <c r="AK15" s="102">
        <v>36.580090070252794</v>
      </c>
      <c r="AL15" s="102">
        <v>5.976297220542591</v>
      </c>
      <c r="AM15" s="102">
        <v>14.601259804272638</v>
      </c>
      <c r="AN15" s="102">
        <v>2.2967457862539216</v>
      </c>
      <c r="AO15" s="102">
        <v>11.874589068621262</v>
      </c>
      <c r="AP15" s="102">
        <v>3.8945465777838222</v>
      </c>
      <c r="AQ15" s="102">
        <v>1.5019187222153185</v>
      </c>
      <c r="AR15" s="102">
        <v>6.0790397139024854</v>
      </c>
      <c r="AS15" s="102">
        <v>1.1838747665593536</v>
      </c>
      <c r="AT15" s="102">
        <v>7.3825974714488423</v>
      </c>
      <c r="AU15" s="102">
        <v>1.656548070591485</v>
      </c>
      <c r="AV15" s="102">
        <v>4.6382581524318676</v>
      </c>
      <c r="AW15" s="102">
        <v>0.67436282100019151</v>
      </c>
      <c r="AX15" s="102">
        <v>4.336433935942722</v>
      </c>
      <c r="AY15" s="102">
        <v>0.63448425512083972</v>
      </c>
      <c r="AZ15" s="102">
        <v>2.6805935400798133</v>
      </c>
      <c r="BA15" s="102">
        <v>0.17507408576811048</v>
      </c>
      <c r="BB15" s="102">
        <v>2.8965344299420397</v>
      </c>
      <c r="BC15" s="102">
        <v>1.5788055628047697</v>
      </c>
      <c r="BD15" s="102">
        <v>0.1967806128583767</v>
      </c>
    </row>
    <row r="16" spans="1:218">
      <c r="A16" s="100" t="s">
        <v>246</v>
      </c>
      <c r="C16" s="100" t="s">
        <v>263</v>
      </c>
      <c r="E16" s="81" t="s">
        <v>129</v>
      </c>
      <c r="F16" s="81" t="s">
        <v>130</v>
      </c>
      <c r="L16" s="81">
        <v>52.26</v>
      </c>
      <c r="M16" s="81">
        <v>1.1539999999999999</v>
      </c>
      <c r="N16" s="81">
        <v>13.397</v>
      </c>
      <c r="O16" s="81">
        <v>11.006</v>
      </c>
      <c r="P16" s="81">
        <v>0.30499999999999999</v>
      </c>
      <c r="Q16" s="81">
        <v>10.087</v>
      </c>
      <c r="R16" s="81">
        <v>9.9009999999999998</v>
      </c>
      <c r="S16" s="81">
        <v>2.456</v>
      </c>
      <c r="T16" s="81">
        <v>7.0000000000000007E-2</v>
      </c>
      <c r="U16" s="81">
        <v>9.8000000000000004E-2</v>
      </c>
      <c r="V16" s="102">
        <v>4.454506252695162</v>
      </c>
      <c r="W16" s="102">
        <v>16.883607026757517</v>
      </c>
      <c r="X16" s="102">
        <v>60.386665229058664</v>
      </c>
      <c r="Y16" s="102">
        <v>334.56725838220808</v>
      </c>
      <c r="Z16" s="102">
        <v>355.66094861586873</v>
      </c>
      <c r="AA16" s="102">
        <v>48.869666910512649</v>
      </c>
      <c r="AB16" s="102">
        <v>91.601556998723552</v>
      </c>
      <c r="AC16" s="102">
        <v>84.092193221818306</v>
      </c>
      <c r="AD16" s="102">
        <v>16.336071511911577</v>
      </c>
      <c r="AE16" s="102">
        <v>0.13111835480273065</v>
      </c>
      <c r="AF16" s="102">
        <v>93.262709799426275</v>
      </c>
      <c r="AG16" s="102">
        <v>25.860486329966808</v>
      </c>
      <c r="AH16" s="102">
        <v>53.152176702694263</v>
      </c>
      <c r="AI16" s="102">
        <v>1.3923306578431398</v>
      </c>
      <c r="AJ16" s="102">
        <v>6.6875390306210276E-3</v>
      </c>
      <c r="AK16" s="102">
        <v>21.526864743166836</v>
      </c>
      <c r="AL16" s="102">
        <v>2.2097009250462514</v>
      </c>
      <c r="AM16" s="102">
        <v>6.1799853488841547</v>
      </c>
      <c r="AN16" s="102">
        <v>1.0930550749998946</v>
      </c>
      <c r="AO16" s="102">
        <v>6.108478255167233</v>
      </c>
      <c r="AP16" s="102">
        <v>2.3900801578678705</v>
      </c>
      <c r="AQ16" s="102">
        <v>1.0190497757483299</v>
      </c>
      <c r="AR16" s="102">
        <v>3.5695559967155832</v>
      </c>
      <c r="AS16" s="102">
        <v>0.71265811310763294</v>
      </c>
      <c r="AT16" s="102">
        <v>4.5740614870176657</v>
      </c>
      <c r="AU16" s="102">
        <v>1.0666555324974611</v>
      </c>
      <c r="AV16" s="102">
        <v>2.9086348701611549</v>
      </c>
      <c r="AW16" s="102">
        <v>0.43540516372527355</v>
      </c>
      <c r="AX16" s="102">
        <v>2.8182357327489749</v>
      </c>
      <c r="AY16" s="102">
        <v>0.38822288594670729</v>
      </c>
      <c r="AZ16" s="102">
        <v>1.4906591286731159</v>
      </c>
      <c r="BA16" s="102">
        <v>7.5301386911210508E-2</v>
      </c>
      <c r="BB16" s="102">
        <v>1.0214599021012749</v>
      </c>
      <c r="BC16" s="102">
        <v>0.17017357965102831</v>
      </c>
      <c r="BD16" s="102">
        <v>4.5407886569508872E-2</v>
      </c>
    </row>
    <row r="17" spans="1:56">
      <c r="A17" s="100" t="s">
        <v>247</v>
      </c>
      <c r="C17" s="100" t="s">
        <v>248</v>
      </c>
      <c r="E17" s="81" t="s">
        <v>129</v>
      </c>
      <c r="F17" s="81" t="s">
        <v>130</v>
      </c>
      <c r="L17" s="81">
        <v>50.343000000000004</v>
      </c>
      <c r="M17" s="81">
        <v>1.35</v>
      </c>
      <c r="N17" s="81">
        <v>15.401</v>
      </c>
      <c r="O17" s="81">
        <v>11.537000000000001</v>
      </c>
      <c r="P17" s="81">
        <v>0.20300000000000001</v>
      </c>
      <c r="Q17" s="81">
        <v>9.2530000000000001</v>
      </c>
      <c r="R17" s="81">
        <v>10.941000000000001</v>
      </c>
      <c r="S17" s="81">
        <v>2.23</v>
      </c>
      <c r="T17" s="81">
        <v>0.125</v>
      </c>
      <c r="U17" s="81">
        <v>9.9000000000000005E-2</v>
      </c>
      <c r="V17" s="102">
        <v>3.4962608896769045</v>
      </c>
      <c r="W17" s="102">
        <v>16.346088906325011</v>
      </c>
      <c r="X17" s="102">
        <v>56.460778833805513</v>
      </c>
      <c r="Y17" s="102">
        <v>304.69611436741536</v>
      </c>
      <c r="Z17" s="102">
        <v>435.30125607970893</v>
      </c>
      <c r="AA17" s="102">
        <v>47.665652769621126</v>
      </c>
      <c r="AB17" s="102">
        <v>70.177581362311457</v>
      </c>
      <c r="AC17" s="102">
        <v>87.130697338347034</v>
      </c>
      <c r="AD17" s="102">
        <v>16.811786974058876</v>
      </c>
      <c r="AE17" s="102">
        <v>0.43326954364362735</v>
      </c>
      <c r="AF17" s="102">
        <v>83.719058573743496</v>
      </c>
      <c r="AG17" s="102">
        <v>34.804585767436542</v>
      </c>
      <c r="AH17" s="102">
        <v>63.629643447031661</v>
      </c>
      <c r="AI17" s="102">
        <v>1.8495135693002083</v>
      </c>
      <c r="AJ17" s="102">
        <v>1.0419994348862766E-3</v>
      </c>
      <c r="AK17" s="102">
        <v>31.431669891172668</v>
      </c>
      <c r="AL17" s="102">
        <v>3.0258866804178561</v>
      </c>
      <c r="AM17" s="102">
        <v>8.1907117830480356</v>
      </c>
      <c r="AN17" s="102">
        <v>1.3937153262257393</v>
      </c>
      <c r="AO17" s="102">
        <v>7.8582711735590216</v>
      </c>
      <c r="AP17" s="102">
        <v>2.9254320380795877</v>
      </c>
      <c r="AQ17" s="102">
        <v>1.1593941563198273</v>
      </c>
      <c r="AR17" s="102">
        <v>4.4919077288661375</v>
      </c>
      <c r="AS17" s="102">
        <v>0.94550596890518135</v>
      </c>
      <c r="AT17" s="102">
        <v>6.1392739984134685</v>
      </c>
      <c r="AU17" s="102">
        <v>1.3808677261773781</v>
      </c>
      <c r="AV17" s="102">
        <v>3.7749482254971234</v>
      </c>
      <c r="AW17" s="102">
        <v>0.55859977218419121</v>
      </c>
      <c r="AX17" s="102">
        <v>3.713896070989362</v>
      </c>
      <c r="AY17" s="102">
        <v>0.48855541727178897</v>
      </c>
      <c r="AZ17" s="102">
        <v>1.7276482156010835</v>
      </c>
      <c r="BA17" s="102">
        <v>0.11977960485639717</v>
      </c>
      <c r="BB17" s="102">
        <v>1.3209252293552947</v>
      </c>
      <c r="BC17" s="102">
        <v>0.25172187655267031</v>
      </c>
      <c r="BD17" s="102">
        <v>5.4325805551225709E-2</v>
      </c>
    </row>
    <row r="18" spans="1:56">
      <c r="A18" s="100" t="s">
        <v>250</v>
      </c>
      <c r="C18" s="100" t="s">
        <v>251</v>
      </c>
      <c r="E18" s="81" t="s">
        <v>129</v>
      </c>
      <c r="F18" s="81" t="s">
        <v>130</v>
      </c>
      <c r="L18" s="81">
        <v>51.088999999999999</v>
      </c>
      <c r="M18" s="81">
        <v>1.4339999999999999</v>
      </c>
      <c r="N18" s="81">
        <v>15.909000000000001</v>
      </c>
      <c r="O18" s="81">
        <v>12.63</v>
      </c>
      <c r="P18" s="81">
        <v>0.182</v>
      </c>
      <c r="Q18" s="81">
        <v>7.077</v>
      </c>
      <c r="R18" s="81">
        <v>8.4589999999999996</v>
      </c>
      <c r="S18" s="81">
        <v>2.9159999999999999</v>
      </c>
      <c r="T18" s="81">
        <v>0.45300000000000001</v>
      </c>
      <c r="U18" s="81">
        <v>0.13200000000000001</v>
      </c>
      <c r="V18" s="102">
        <v>5.7311508351823459</v>
      </c>
      <c r="W18" s="102">
        <v>141.26936921033797</v>
      </c>
      <c r="X18" s="102">
        <v>35.740306375742804</v>
      </c>
      <c r="Y18" s="102">
        <v>267.49368665077714</v>
      </c>
      <c r="Z18" s="102">
        <v>224.17260029219105</v>
      </c>
      <c r="AA18" s="102">
        <v>55.431887533864789</v>
      </c>
      <c r="AB18" s="102">
        <v>66.960423158130411</v>
      </c>
      <c r="AC18" s="102">
        <v>103.63387553949579</v>
      </c>
      <c r="AD18" s="102">
        <v>22.237315659785263</v>
      </c>
      <c r="AE18" s="102">
        <v>7.3607469101631251</v>
      </c>
      <c r="AF18" s="102">
        <v>138.84431851175523</v>
      </c>
      <c r="AG18" s="102">
        <v>49.657870339275931</v>
      </c>
      <c r="AH18" s="102">
        <v>158.45339011678257</v>
      </c>
      <c r="AI18" s="102">
        <v>9.3158977501213549</v>
      </c>
      <c r="AJ18" s="102">
        <v>0.12495375488073127</v>
      </c>
      <c r="AK18" s="102">
        <v>192.32135128675094</v>
      </c>
      <c r="AL18" s="102">
        <v>9.60066639187181</v>
      </c>
      <c r="AM18" s="102">
        <v>24.294091689011388</v>
      </c>
      <c r="AN18" s="102">
        <v>3.6511057212620082</v>
      </c>
      <c r="AO18" s="102">
        <v>17.283908211942229</v>
      </c>
      <c r="AP18" s="102">
        <v>5.4179969745464316</v>
      </c>
      <c r="AQ18" s="102">
        <v>1.750174413925317</v>
      </c>
      <c r="AR18" s="102">
        <v>6.6787746038813864</v>
      </c>
      <c r="AS18" s="102">
        <v>1.3110970099596961</v>
      </c>
      <c r="AT18" s="102">
        <v>8.0811223529615361</v>
      </c>
      <c r="AU18" s="102">
        <v>1.7293231919349219</v>
      </c>
      <c r="AV18" s="102">
        <v>5.0454028174701477</v>
      </c>
      <c r="AW18" s="102">
        <v>0.71610151796944588</v>
      </c>
      <c r="AX18" s="102">
        <v>4.7009490068207551</v>
      </c>
      <c r="AY18" s="102">
        <v>0.62692239031824581</v>
      </c>
      <c r="AZ18" s="102">
        <v>3.863378687808674</v>
      </c>
      <c r="BA18" s="102">
        <v>0.55477954436212251</v>
      </c>
      <c r="BB18" s="102">
        <v>1.3495414439089242</v>
      </c>
      <c r="BC18" s="102">
        <v>0.93823330224609114</v>
      </c>
      <c r="BD18" s="102">
        <v>0.21491236902313091</v>
      </c>
    </row>
    <row r="19" spans="1:56">
      <c r="A19" s="100" t="s">
        <v>264</v>
      </c>
      <c r="C19" s="100" t="s">
        <v>252</v>
      </c>
      <c r="E19" s="81" t="s">
        <v>129</v>
      </c>
      <c r="F19" s="81" t="s">
        <v>130</v>
      </c>
      <c r="L19" s="81">
        <v>49.709000000000003</v>
      </c>
      <c r="M19" s="81">
        <v>2.2589999999999999</v>
      </c>
      <c r="N19" s="81">
        <v>14.351000000000001</v>
      </c>
      <c r="O19" s="81">
        <v>12.875</v>
      </c>
      <c r="P19" s="81">
        <v>0.253</v>
      </c>
      <c r="Q19" s="81">
        <v>7.5039999999999996</v>
      </c>
      <c r="R19" s="81">
        <v>8.7370000000000001</v>
      </c>
      <c r="S19" s="81">
        <v>2.883</v>
      </c>
      <c r="T19" s="81">
        <v>0.20200000000000001</v>
      </c>
      <c r="U19" s="81">
        <v>0.224</v>
      </c>
      <c r="V19" s="102">
        <v>3.6735670695226368</v>
      </c>
      <c r="W19" s="102">
        <v>16.345799080307575</v>
      </c>
      <c r="X19" s="102">
        <v>39.701117670559249</v>
      </c>
      <c r="Y19" s="102">
        <v>343.22825310750522</v>
      </c>
      <c r="Z19" s="102">
        <v>246.88113171362707</v>
      </c>
      <c r="AA19" s="102">
        <v>49.440100332329017</v>
      </c>
      <c r="AB19" s="102">
        <v>268.27405703145382</v>
      </c>
      <c r="AC19" s="102">
        <v>106.18263372441099</v>
      </c>
      <c r="AD19" s="102">
        <v>20.800112641205939</v>
      </c>
      <c r="AE19" s="102">
        <v>1.227647259552582</v>
      </c>
      <c r="AF19" s="102">
        <v>188.8577047831586</v>
      </c>
      <c r="AG19" s="102">
        <v>33.617499124764329</v>
      </c>
      <c r="AH19" s="102">
        <v>137.78241844234151</v>
      </c>
      <c r="AI19" s="102">
        <v>9.5257766094176226</v>
      </c>
      <c r="AJ19" s="102">
        <v>8.5329499630976621E-3</v>
      </c>
      <c r="AK19" s="102">
        <v>43.435635661440614</v>
      </c>
      <c r="AL19" s="102">
        <v>8.3506377434594103</v>
      </c>
      <c r="AM19" s="102">
        <v>21.268931281307093</v>
      </c>
      <c r="AN19" s="102">
        <v>3.3647245255080342</v>
      </c>
      <c r="AO19" s="102">
        <v>15.904661044501063</v>
      </c>
      <c r="AP19" s="102">
        <v>4.8300169659397527</v>
      </c>
      <c r="AQ19" s="102">
        <v>1.7517838802139654</v>
      </c>
      <c r="AR19" s="102">
        <v>5.8423774683531366</v>
      </c>
      <c r="AS19" s="102">
        <v>1.0477976179940485</v>
      </c>
      <c r="AT19" s="102">
        <v>6.2957202498147424</v>
      </c>
      <c r="AU19" s="102">
        <v>1.3071112923258459</v>
      </c>
      <c r="AV19" s="102">
        <v>3.5241070161104551</v>
      </c>
      <c r="AW19" s="102">
        <v>0.46534111070185324</v>
      </c>
      <c r="AX19" s="102">
        <v>3.2191331781304418</v>
      </c>
      <c r="AY19" s="102">
        <v>0.3852760042253438</v>
      </c>
      <c r="AZ19" s="102">
        <v>3.4518071680020888</v>
      </c>
      <c r="BA19" s="102">
        <v>0.56854473075061562</v>
      </c>
      <c r="BB19" s="102">
        <v>0.88659010948400963</v>
      </c>
      <c r="BC19" s="102">
        <v>0.72729284492415791</v>
      </c>
      <c r="BD19" s="102">
        <v>0.17156179660525334</v>
      </c>
    </row>
    <row r="20" spans="1:56">
      <c r="A20" s="100" t="s">
        <v>265</v>
      </c>
      <c r="C20" s="100" t="s">
        <v>253</v>
      </c>
      <c r="E20" s="81" t="s">
        <v>129</v>
      </c>
      <c r="F20" s="81" t="s">
        <v>130</v>
      </c>
      <c r="L20" s="81">
        <v>49.942999999999998</v>
      </c>
      <c r="M20" s="81">
        <v>1.879</v>
      </c>
      <c r="N20" s="81">
        <v>13.97</v>
      </c>
      <c r="O20" s="81">
        <v>13.301</v>
      </c>
      <c r="P20" s="81">
        <v>0.26600000000000001</v>
      </c>
      <c r="Q20" s="81">
        <v>7.2229999999999999</v>
      </c>
      <c r="R20" s="81">
        <v>10.045999999999999</v>
      </c>
      <c r="S20" s="81">
        <v>2.7149999999999999</v>
      </c>
      <c r="T20" s="81">
        <v>0.2</v>
      </c>
      <c r="U20" s="81">
        <v>0.182</v>
      </c>
      <c r="V20" s="102">
        <v>6.0733540271198141</v>
      </c>
      <c r="W20" s="102">
        <v>13.465902350087774</v>
      </c>
      <c r="X20" s="102">
        <v>37.666591585702619</v>
      </c>
      <c r="Y20" s="102">
        <v>344.6651779134973</v>
      </c>
      <c r="Z20" s="102">
        <v>187.74948492044322</v>
      </c>
      <c r="AA20" s="102">
        <v>48.849196962443777</v>
      </c>
      <c r="AB20" s="102">
        <v>138.38998085562326</v>
      </c>
      <c r="AC20" s="102">
        <v>89.985738493897955</v>
      </c>
      <c r="AD20" s="102">
        <v>19.327341251049127</v>
      </c>
      <c r="AE20" s="102">
        <v>2.0904639251996371</v>
      </c>
      <c r="AF20" s="102">
        <v>170.93493420692664</v>
      </c>
      <c r="AG20" s="102">
        <v>33.750233098837022</v>
      </c>
      <c r="AH20" s="102">
        <v>106.42632480501749</v>
      </c>
      <c r="AI20" s="102">
        <v>6.7567618014170128</v>
      </c>
      <c r="AJ20" s="102">
        <v>3.7004453830291821E-2</v>
      </c>
      <c r="AK20" s="102">
        <v>23.928832620408151</v>
      </c>
      <c r="AL20" s="102">
        <v>6.2557172243996817</v>
      </c>
      <c r="AM20" s="102">
        <v>16.504691624006703</v>
      </c>
      <c r="AN20" s="102">
        <v>2.5732181093676254</v>
      </c>
      <c r="AO20" s="102">
        <v>13.039011167947596</v>
      </c>
      <c r="AP20" s="102">
        <v>4.0208261294959744</v>
      </c>
      <c r="AQ20" s="102">
        <v>1.6204932866515496</v>
      </c>
      <c r="AR20" s="102">
        <v>5.0714719392660053</v>
      </c>
      <c r="AS20" s="102">
        <v>0.98590665993792781</v>
      </c>
      <c r="AT20" s="102">
        <v>5.9432740291292268</v>
      </c>
      <c r="AU20" s="102">
        <v>1.1941543398143326</v>
      </c>
      <c r="AV20" s="102">
        <v>3.4077620214075606</v>
      </c>
      <c r="AW20" s="102">
        <v>0.4611307381719873</v>
      </c>
      <c r="AX20" s="102">
        <v>3.1189647669509504</v>
      </c>
      <c r="AY20" s="102">
        <v>0.38180482846854691</v>
      </c>
      <c r="AZ20" s="102">
        <v>2.6723933433693072</v>
      </c>
      <c r="BA20" s="102">
        <v>0.41209679750235462</v>
      </c>
      <c r="BB20" s="102">
        <v>0.69863597547094902</v>
      </c>
      <c r="BC20" s="102">
        <v>0.53178215759340886</v>
      </c>
      <c r="BD20" s="102">
        <v>0.18134340475082364</v>
      </c>
    </row>
    <row r="21" spans="1:56">
      <c r="A21" s="100" t="s">
        <v>266</v>
      </c>
      <c r="C21" s="100" t="s">
        <v>254</v>
      </c>
      <c r="E21" s="81" t="s">
        <v>129</v>
      </c>
      <c r="F21" s="81" t="s">
        <v>130</v>
      </c>
      <c r="L21" s="81">
        <v>48.439</v>
      </c>
      <c r="M21" s="81">
        <v>2.4420000000000002</v>
      </c>
      <c r="N21" s="81">
        <v>14.534000000000001</v>
      </c>
      <c r="O21" s="81">
        <v>14.125999999999999</v>
      </c>
      <c r="P21" s="81">
        <v>0.17899999999999999</v>
      </c>
      <c r="Q21" s="81">
        <v>7.0759999999999996</v>
      </c>
      <c r="R21" s="81">
        <v>8.968</v>
      </c>
      <c r="S21" s="81">
        <v>3.1949999999999998</v>
      </c>
      <c r="T21" s="81">
        <v>0.191</v>
      </c>
      <c r="U21" s="81">
        <v>0.183</v>
      </c>
      <c r="V21" s="102">
        <v>4.4283480121819867</v>
      </c>
      <c r="W21" s="102">
        <v>3.2758510479990535</v>
      </c>
      <c r="X21" s="102">
        <v>40.915824011332234</v>
      </c>
      <c r="Y21" s="102">
        <v>381.23468586704149</v>
      </c>
      <c r="Z21" s="102">
        <v>158.72522691766383</v>
      </c>
      <c r="AA21" s="102">
        <v>53.711636591134067</v>
      </c>
      <c r="AB21" s="102">
        <v>186.03051628264785</v>
      </c>
      <c r="AC21" s="102">
        <v>94.517667259483147</v>
      </c>
      <c r="AD21" s="102">
        <v>22.129922311319675</v>
      </c>
      <c r="AE21" s="102">
        <v>1.6458347993668463</v>
      </c>
      <c r="AF21" s="102">
        <v>193.70097819252396</v>
      </c>
      <c r="AG21" s="102">
        <v>39.898810005847061</v>
      </c>
      <c r="AH21" s="102">
        <v>132.43626290657988</v>
      </c>
      <c r="AI21" s="102">
        <v>8.6008634160314443</v>
      </c>
      <c r="AJ21" s="102">
        <v>3.2215662713363527E-2</v>
      </c>
      <c r="AK21" s="102">
        <v>33.343359853661894</v>
      </c>
      <c r="AL21" s="102">
        <v>8.2615231651892884</v>
      </c>
      <c r="AM21" s="102">
        <v>21.101889585499439</v>
      </c>
      <c r="AN21" s="102">
        <v>3.3580078060322709</v>
      </c>
      <c r="AO21" s="102">
        <v>16.245773053904497</v>
      </c>
      <c r="AP21" s="102">
        <v>4.9730767871061961</v>
      </c>
      <c r="AQ21" s="102">
        <v>2.0131785893012468</v>
      </c>
      <c r="AR21" s="102">
        <v>6.0966241373087353</v>
      </c>
      <c r="AS21" s="102">
        <v>1.1364627822805202</v>
      </c>
      <c r="AT21" s="102">
        <v>7.0759116061572138</v>
      </c>
      <c r="AU21" s="102">
        <v>1.4285771732027461</v>
      </c>
      <c r="AV21" s="102">
        <v>3.7518737287924258</v>
      </c>
      <c r="AW21" s="102">
        <v>0.53570585767683276</v>
      </c>
      <c r="AX21" s="102">
        <v>3.3399963808380382</v>
      </c>
      <c r="AY21" s="102">
        <v>0.41017094904651957</v>
      </c>
      <c r="AZ21" s="102">
        <v>3.2448642462946227</v>
      </c>
      <c r="BA21" s="102">
        <v>0.52149943138023125</v>
      </c>
      <c r="BB21" s="102">
        <v>0.81127989782904875</v>
      </c>
      <c r="BC21" s="102">
        <v>0.61056468776284745</v>
      </c>
      <c r="BD21" s="102">
        <v>0.32336283834696322</v>
      </c>
    </row>
    <row r="22" spans="1:56">
      <c r="A22" s="100" t="s">
        <v>267</v>
      </c>
      <c r="C22" s="100" t="s">
        <v>255</v>
      </c>
      <c r="E22" s="81" t="s">
        <v>129</v>
      </c>
      <c r="F22" s="81" t="s">
        <v>130</v>
      </c>
      <c r="L22" s="81">
        <v>49.982999999999997</v>
      </c>
      <c r="M22" s="81">
        <v>2.1110000000000002</v>
      </c>
      <c r="N22" s="81">
        <v>13.069000000000001</v>
      </c>
      <c r="O22" s="81">
        <v>13.821</v>
      </c>
      <c r="P22" s="81">
        <v>0.24299999999999999</v>
      </c>
      <c r="Q22" s="81">
        <v>7.6020000000000003</v>
      </c>
      <c r="R22" s="81">
        <v>10.220000000000001</v>
      </c>
      <c r="S22" s="81">
        <v>2.6139999999999999</v>
      </c>
      <c r="T22" s="81">
        <v>0.14299999999999999</v>
      </c>
      <c r="U22" s="81">
        <v>0.17599999999999999</v>
      </c>
      <c r="V22" s="102">
        <v>2.6500512658726931</v>
      </c>
      <c r="W22" s="102">
        <v>3.9754034379694767</v>
      </c>
      <c r="X22" s="102">
        <v>39.331664220563326</v>
      </c>
      <c r="Y22" s="102">
        <v>352.15276633099995</v>
      </c>
      <c r="Z22" s="102">
        <v>217.32827176398132</v>
      </c>
      <c r="AA22" s="102">
        <v>47.214045870906894</v>
      </c>
      <c r="AB22" s="102">
        <v>156.58760499431074</v>
      </c>
      <c r="AC22" s="102">
        <v>103.71870199204085</v>
      </c>
      <c r="AD22" s="102">
        <v>19.752166178130601</v>
      </c>
      <c r="AE22" s="102">
        <v>0.97784611506933183</v>
      </c>
      <c r="AF22" s="102">
        <v>167.18431981865973</v>
      </c>
      <c r="AG22" s="102">
        <v>33.523817843364235</v>
      </c>
      <c r="AH22" s="102">
        <v>119.03697020076329</v>
      </c>
      <c r="AI22" s="102">
        <v>7.1742194790398308</v>
      </c>
      <c r="AJ22" s="102">
        <v>1.8466704120646861E-2</v>
      </c>
      <c r="AK22" s="102">
        <v>32.465772804637986</v>
      </c>
      <c r="AL22" s="102">
        <v>6.4013783848729506</v>
      </c>
      <c r="AM22" s="102">
        <v>17.308748212651011</v>
      </c>
      <c r="AN22" s="102">
        <v>2.7752280236309059</v>
      </c>
      <c r="AO22" s="102">
        <v>13.928484268764297</v>
      </c>
      <c r="AP22" s="102">
        <v>4.1871265334941601</v>
      </c>
      <c r="AQ22" s="102">
        <v>1.6068938561369235</v>
      </c>
      <c r="AR22" s="102">
        <v>5.3547072247957237</v>
      </c>
      <c r="AS22" s="102">
        <v>0.96751338999959902</v>
      </c>
      <c r="AT22" s="102">
        <v>6.0826853303460862</v>
      </c>
      <c r="AU22" s="102">
        <v>1.2255554800842179</v>
      </c>
      <c r="AV22" s="102">
        <v>3.2819437267142293</v>
      </c>
      <c r="AW22" s="102">
        <v>0.43148266310535599</v>
      </c>
      <c r="AX22" s="102">
        <v>2.9890525808892421</v>
      </c>
      <c r="AY22" s="102">
        <v>0.39650431564099664</v>
      </c>
      <c r="AZ22" s="102">
        <v>3.0173020616930675</v>
      </c>
      <c r="BA22" s="102">
        <v>0.46397370390961573</v>
      </c>
      <c r="BB22" s="102">
        <v>0.72720538455911576</v>
      </c>
      <c r="BC22" s="102">
        <v>0.57646238308455977</v>
      </c>
      <c r="BD22" s="102">
        <v>0.13685811844610901</v>
      </c>
    </row>
    <row r="23" spans="1:56">
      <c r="A23" s="100" t="s">
        <v>268</v>
      </c>
      <c r="C23" s="100" t="s">
        <v>256</v>
      </c>
      <c r="E23" s="81" t="s">
        <v>129</v>
      </c>
      <c r="F23" s="81" t="s">
        <v>130</v>
      </c>
      <c r="L23" s="81">
        <v>50.234999999999999</v>
      </c>
      <c r="M23" s="81">
        <v>2.0329999999999999</v>
      </c>
      <c r="N23" s="81">
        <v>15.242000000000001</v>
      </c>
      <c r="O23" s="81">
        <v>12.327</v>
      </c>
      <c r="P23" s="81">
        <v>0.19500000000000001</v>
      </c>
      <c r="Q23" s="81">
        <v>6.5890000000000004</v>
      </c>
      <c r="R23" s="81">
        <v>10.948</v>
      </c>
      <c r="S23" s="81">
        <v>2.7</v>
      </c>
      <c r="T23" s="81">
        <v>0.22700000000000001</v>
      </c>
      <c r="U23" s="81">
        <v>0.16300000000000001</v>
      </c>
      <c r="V23" s="102">
        <v>2.0335686805055615</v>
      </c>
      <c r="W23" s="102">
        <v>10.337056787932482</v>
      </c>
      <c r="X23" s="102">
        <v>35.212706667190062</v>
      </c>
      <c r="Y23" s="102">
        <v>328.01975500134449</v>
      </c>
      <c r="Z23" s="102">
        <v>177.7629169024689</v>
      </c>
      <c r="AA23" s="102">
        <v>41.913711490995901</v>
      </c>
      <c r="AB23" s="102">
        <v>162.42745034832114</v>
      </c>
      <c r="AC23" s="102">
        <v>99.217518075321038</v>
      </c>
      <c r="AD23" s="102">
        <v>20.130619855062061</v>
      </c>
      <c r="AE23" s="102">
        <v>2.2930346399302417</v>
      </c>
      <c r="AF23" s="102">
        <v>187.63058235993861</v>
      </c>
      <c r="AG23" s="102">
        <v>31.952736818587113</v>
      </c>
      <c r="AH23" s="102">
        <v>116.52875977299949</v>
      </c>
      <c r="AI23" s="102">
        <v>6.8739838536213771</v>
      </c>
      <c r="AJ23" s="102">
        <v>1.8578730542715853E-2</v>
      </c>
      <c r="AK23" s="102">
        <v>38.980575917845655</v>
      </c>
      <c r="AL23" s="102">
        <v>6.2414264652901936</v>
      </c>
      <c r="AM23" s="102">
        <v>16.396029900057801</v>
      </c>
      <c r="AN23" s="102">
        <v>2.6124471660210999</v>
      </c>
      <c r="AO23" s="102">
        <v>13.340953545384259</v>
      </c>
      <c r="AP23" s="102">
        <v>3.9822661144786222</v>
      </c>
      <c r="AQ23" s="102">
        <v>1.6695272970520736</v>
      </c>
      <c r="AR23" s="102">
        <v>5.186533625155616</v>
      </c>
      <c r="AS23" s="102">
        <v>0.96892263991463312</v>
      </c>
      <c r="AT23" s="102">
        <v>5.7693126174863085</v>
      </c>
      <c r="AU23" s="102">
        <v>1.2006589803224068</v>
      </c>
      <c r="AV23" s="102">
        <v>3.1564125205443303</v>
      </c>
      <c r="AW23" s="102">
        <v>0.44585960961141446</v>
      </c>
      <c r="AX23" s="102">
        <v>2.8288124935323453</v>
      </c>
      <c r="AY23" s="102">
        <v>0.35780861168429756</v>
      </c>
      <c r="AZ23" s="102">
        <v>2.934371834306809</v>
      </c>
      <c r="BA23" s="102">
        <v>0.41622154756685514</v>
      </c>
      <c r="BB23" s="102">
        <v>0.85716667492564325</v>
      </c>
      <c r="BC23" s="102">
        <v>0.53662200630365164</v>
      </c>
      <c r="BD23" s="102">
        <v>0.13744003944076028</v>
      </c>
    </row>
    <row r="24" spans="1:56">
      <c r="A24" s="100" t="s">
        <v>269</v>
      </c>
      <c r="C24" s="100" t="s">
        <v>257</v>
      </c>
      <c r="E24" s="81" t="s">
        <v>129</v>
      </c>
      <c r="F24" s="81" t="s">
        <v>130</v>
      </c>
      <c r="L24" s="81">
        <v>49.043999999999997</v>
      </c>
      <c r="M24" s="81">
        <v>2.6</v>
      </c>
      <c r="N24" s="81">
        <v>12.202999999999999</v>
      </c>
      <c r="O24" s="81">
        <v>15.000999999999999</v>
      </c>
      <c r="P24" s="81">
        <v>0.28899999999999998</v>
      </c>
      <c r="Q24" s="81">
        <v>6.7359999999999998</v>
      </c>
      <c r="R24" s="81">
        <v>9.2880000000000003</v>
      </c>
      <c r="S24" s="81">
        <v>2.827</v>
      </c>
      <c r="T24" s="81">
        <v>0.23</v>
      </c>
      <c r="U24" s="81">
        <v>0.255</v>
      </c>
      <c r="V24" s="102">
        <v>2.2042057258677112</v>
      </c>
      <c r="W24" s="102">
        <v>10.992719334342084</v>
      </c>
      <c r="X24" s="102">
        <v>38.93852075731813</v>
      </c>
      <c r="Y24" s="102">
        <v>391.30184508915198</v>
      </c>
      <c r="Z24" s="102">
        <v>83.635169677736371</v>
      </c>
      <c r="AA24" s="102">
        <v>51.543924284180221</v>
      </c>
      <c r="AB24" s="102">
        <v>149.38192295933368</v>
      </c>
      <c r="AC24" s="102">
        <v>130.80800354365928</v>
      </c>
      <c r="AD24" s="102">
        <v>21.357189861809825</v>
      </c>
      <c r="AE24" s="102">
        <v>1.9140104285778823</v>
      </c>
      <c r="AF24" s="102">
        <v>182.15179216694659</v>
      </c>
      <c r="AG24" s="102">
        <v>38.660756115996008</v>
      </c>
      <c r="AH24" s="102">
        <v>152.77953939170089</v>
      </c>
      <c r="AI24" s="102">
        <v>9.3572400047756012</v>
      </c>
      <c r="AJ24" s="102">
        <v>1.438039406667148E-2</v>
      </c>
      <c r="AK24" s="102">
        <v>101.72046817581862</v>
      </c>
      <c r="AL24" s="102">
        <v>8.1306464422918605</v>
      </c>
      <c r="AM24" s="102">
        <v>21.641895072146564</v>
      </c>
      <c r="AN24" s="102">
        <v>3.5226169619509444</v>
      </c>
      <c r="AO24" s="102">
        <v>17.301164713072026</v>
      </c>
      <c r="AP24" s="102">
        <v>5.2494235346776099</v>
      </c>
      <c r="AQ24" s="102">
        <v>2.0311892849739235</v>
      </c>
      <c r="AR24" s="102">
        <v>6.2629394233412965</v>
      </c>
      <c r="AS24" s="102">
        <v>1.2167673393951628</v>
      </c>
      <c r="AT24" s="102">
        <v>7.1060865639710729</v>
      </c>
      <c r="AU24" s="102">
        <v>1.3746387406262035</v>
      </c>
      <c r="AV24" s="102">
        <v>3.8776449699910267</v>
      </c>
      <c r="AW24" s="102">
        <v>0.55150623901689211</v>
      </c>
      <c r="AX24" s="102">
        <v>3.3827279928888188</v>
      </c>
      <c r="AY24" s="102">
        <v>0.43200350997601294</v>
      </c>
      <c r="AZ24" s="102">
        <v>3.7766579816318808</v>
      </c>
      <c r="BA24" s="102">
        <v>0.57514360279567733</v>
      </c>
      <c r="BB24" s="102">
        <v>0.91485270534570262</v>
      </c>
      <c r="BC24" s="102">
        <v>0.69152862494777068</v>
      </c>
      <c r="BD24" s="102">
        <v>0.22111379776557885</v>
      </c>
    </row>
    <row r="25" spans="1:56">
      <c r="A25" s="100" t="s">
        <v>270</v>
      </c>
      <c r="C25" s="100" t="s">
        <v>258</v>
      </c>
      <c r="E25" s="81" t="s">
        <v>129</v>
      </c>
      <c r="F25" s="81" t="s">
        <v>130</v>
      </c>
      <c r="L25" s="81">
        <v>49.534999999999997</v>
      </c>
      <c r="M25" s="81">
        <v>2.4489999999999998</v>
      </c>
      <c r="N25" s="81">
        <v>13.076000000000001</v>
      </c>
      <c r="O25" s="81">
        <v>14.143000000000001</v>
      </c>
      <c r="P25" s="81">
        <v>0.26900000000000002</v>
      </c>
      <c r="Q25" s="81">
        <v>6.8079999999999998</v>
      </c>
      <c r="R25" s="81">
        <v>9.6630000000000003</v>
      </c>
      <c r="S25" s="81">
        <v>2.89</v>
      </c>
      <c r="T25" s="81">
        <v>0.21</v>
      </c>
      <c r="U25" s="81">
        <v>0.27200000000000002</v>
      </c>
      <c r="V25" s="102">
        <v>1.4902937639581189</v>
      </c>
      <c r="W25" s="102">
        <v>10.347981006607412</v>
      </c>
      <c r="X25" s="102">
        <v>42.53764416783438</v>
      </c>
      <c r="Y25" s="102">
        <v>415.79183074239421</v>
      </c>
      <c r="Z25" s="102">
        <v>235.10832610082713</v>
      </c>
      <c r="AA25" s="102">
        <v>57.309957527548072</v>
      </c>
      <c r="AB25" s="102">
        <v>66.148249948304226</v>
      </c>
      <c r="AC25" s="102">
        <v>131.34407009733602</v>
      </c>
      <c r="AD25" s="102">
        <v>21.198524157105844</v>
      </c>
      <c r="AE25" s="102">
        <v>1.3099010289570905</v>
      </c>
      <c r="AF25" s="102">
        <v>181.11828840915638</v>
      </c>
      <c r="AG25" s="102">
        <v>44.206036251253792</v>
      </c>
      <c r="AH25" s="102">
        <v>152.37195060053659</v>
      </c>
      <c r="AI25" s="102">
        <v>9.3029458459670238</v>
      </c>
      <c r="AJ25" s="102">
        <v>8.6911473868518246E-3</v>
      </c>
      <c r="AK25" s="102">
        <v>38.418688866335174</v>
      </c>
      <c r="AL25" s="102">
        <v>8.8881053303952093</v>
      </c>
      <c r="AM25" s="102">
        <v>23.516768813875025</v>
      </c>
      <c r="AN25" s="102">
        <v>3.6508974457455912</v>
      </c>
      <c r="AO25" s="102">
        <v>18.386000603647627</v>
      </c>
      <c r="AP25" s="102">
        <v>5.3087619279322604</v>
      </c>
      <c r="AQ25" s="102">
        <v>2.0391158806686982</v>
      </c>
      <c r="AR25" s="102">
        <v>6.8008702214840691</v>
      </c>
      <c r="AS25" s="102">
        <v>1.2527175925928238</v>
      </c>
      <c r="AT25" s="102">
        <v>7.3596669222485005</v>
      </c>
      <c r="AU25" s="102">
        <v>1.522094069484214</v>
      </c>
      <c r="AV25" s="102">
        <v>4.1564544617167574</v>
      </c>
      <c r="AW25" s="102">
        <v>0.57434076124058631</v>
      </c>
      <c r="AX25" s="102">
        <v>3.6528361412270516</v>
      </c>
      <c r="AY25" s="102">
        <v>0.45690085070714948</v>
      </c>
      <c r="AZ25" s="102">
        <v>3.7365954371374475</v>
      </c>
      <c r="BA25" s="102">
        <v>0.58161165576559293</v>
      </c>
      <c r="BB25" s="102">
        <v>0.91109178048637063</v>
      </c>
      <c r="BC25" s="102">
        <v>0.76091429061190419</v>
      </c>
      <c r="BD25" s="102">
        <v>0.28483800643864537</v>
      </c>
    </row>
    <row r="26" spans="1:56">
      <c r="A26" s="100" t="s">
        <v>271</v>
      </c>
      <c r="C26" s="100" t="s">
        <v>259</v>
      </c>
      <c r="E26" s="81" t="s">
        <v>129</v>
      </c>
      <c r="F26" s="81" t="s">
        <v>130</v>
      </c>
      <c r="L26" s="81">
        <v>49.503</v>
      </c>
      <c r="M26" s="81">
        <v>1.835</v>
      </c>
      <c r="N26" s="81">
        <v>11.763999999999999</v>
      </c>
      <c r="O26" s="81">
        <v>13.957000000000001</v>
      </c>
      <c r="P26" s="81">
        <v>0.27300000000000002</v>
      </c>
      <c r="Q26" s="81">
        <v>9.6370000000000005</v>
      </c>
      <c r="R26" s="81">
        <v>9.3770000000000007</v>
      </c>
      <c r="S26" s="81">
        <v>2.633</v>
      </c>
      <c r="T26" s="81">
        <v>0.24</v>
      </c>
      <c r="U26" s="81">
        <v>0.16700000000000001</v>
      </c>
      <c r="V26" s="102">
        <v>4.4580604267906621</v>
      </c>
      <c r="W26" s="102">
        <v>2.3954172721254561</v>
      </c>
      <c r="X26" s="102">
        <v>39.548032270454549</v>
      </c>
      <c r="Y26" s="102">
        <v>325.07645409237631</v>
      </c>
      <c r="Z26" s="102">
        <v>239.6327570382972</v>
      </c>
      <c r="AA26" s="102">
        <v>53.209916649270838</v>
      </c>
      <c r="AB26" s="102">
        <v>40.879303564471279</v>
      </c>
      <c r="AC26" s="102">
        <v>90.137052635254236</v>
      </c>
      <c r="AD26" s="102">
        <v>17.94248754671105</v>
      </c>
      <c r="AE26" s="102">
        <v>0.929368635420603</v>
      </c>
      <c r="AF26" s="102">
        <v>150.72561240318774</v>
      </c>
      <c r="AG26" s="102">
        <v>34.37398799996042</v>
      </c>
      <c r="AH26" s="102">
        <v>106.45276178818474</v>
      </c>
      <c r="AI26" s="102">
        <v>6.554467815443882</v>
      </c>
      <c r="AJ26" s="102">
        <v>7.1316262860085348E-3</v>
      </c>
      <c r="AK26" s="102">
        <v>31.649159753755185</v>
      </c>
      <c r="AL26" s="102">
        <v>6.2562367571733288</v>
      </c>
      <c r="AM26" s="102">
        <v>16.644497617669703</v>
      </c>
      <c r="AN26" s="102">
        <v>2.6650053505892379</v>
      </c>
      <c r="AO26" s="102">
        <v>13.214676344128353</v>
      </c>
      <c r="AP26" s="102">
        <v>3.9734958019221303</v>
      </c>
      <c r="AQ26" s="102">
        <v>1.5881200533189703</v>
      </c>
      <c r="AR26" s="102">
        <v>5.0591216919188469</v>
      </c>
      <c r="AS26" s="102">
        <v>0.98587750141721342</v>
      </c>
      <c r="AT26" s="102">
        <v>6.0139037272122229</v>
      </c>
      <c r="AU26" s="102">
        <v>1.2543697974948265</v>
      </c>
      <c r="AV26" s="102">
        <v>3.5641161565023918</v>
      </c>
      <c r="AW26" s="102">
        <v>0.48737690883308965</v>
      </c>
      <c r="AX26" s="102">
        <v>3.1511745615517026</v>
      </c>
      <c r="AY26" s="102">
        <v>0.40245041479555727</v>
      </c>
      <c r="AZ26" s="102">
        <v>2.7403196270774122</v>
      </c>
      <c r="BA26" s="102">
        <v>0.40833117734074414</v>
      </c>
      <c r="BB26" s="102">
        <v>0.68238806109753603</v>
      </c>
      <c r="BC26" s="102">
        <v>0.49565585460692574</v>
      </c>
      <c r="BD26" s="102">
        <v>8.4763621188842286E-2</v>
      </c>
    </row>
    <row r="27" spans="1:56">
      <c r="A27" s="100" t="s">
        <v>272</v>
      </c>
      <c r="C27" s="100" t="s">
        <v>260</v>
      </c>
      <c r="E27" s="81" t="s">
        <v>129</v>
      </c>
      <c r="F27" s="81" t="s">
        <v>130</v>
      </c>
      <c r="L27" s="81">
        <v>49.341999999999999</v>
      </c>
      <c r="M27" s="81">
        <v>2.2410000000000001</v>
      </c>
      <c r="N27" s="81">
        <v>13.491</v>
      </c>
      <c r="O27" s="81">
        <v>14.103</v>
      </c>
      <c r="P27" s="81">
        <v>0.23499999999999999</v>
      </c>
      <c r="Q27" s="81">
        <v>6.976</v>
      </c>
      <c r="R27" s="81">
        <v>10.089</v>
      </c>
      <c r="S27" s="81">
        <v>2.81</v>
      </c>
      <c r="T27" s="81">
        <v>0.152</v>
      </c>
      <c r="U27" s="81">
        <v>0.20200000000000001</v>
      </c>
      <c r="V27" s="102">
        <v>3.180152478834152</v>
      </c>
      <c r="W27" s="102">
        <v>2.4277895355071983</v>
      </c>
      <c r="X27" s="102">
        <v>41.191414046945766</v>
      </c>
      <c r="Y27" s="102">
        <v>348.09901617707067</v>
      </c>
      <c r="Z27" s="102">
        <v>135.70618539502286</v>
      </c>
      <c r="AA27" s="102">
        <v>48.48370148334039</v>
      </c>
      <c r="AB27" s="102">
        <v>133.32971073511129</v>
      </c>
      <c r="AC27" s="102">
        <v>116.78121784605354</v>
      </c>
      <c r="AD27" s="102">
        <v>20.433514759261939</v>
      </c>
      <c r="AE27" s="102">
        <v>0.71015938127701561</v>
      </c>
      <c r="AF27" s="102">
        <v>178.60392307241386</v>
      </c>
      <c r="AG27" s="102">
        <v>34.251062910745667</v>
      </c>
      <c r="AH27" s="102">
        <v>121.03858956764975</v>
      </c>
      <c r="AI27" s="102">
        <v>8.1637812455059322</v>
      </c>
      <c r="AJ27" s="102">
        <v>5.628660277695487E-3</v>
      </c>
      <c r="AK27" s="102">
        <v>37.554971679758452</v>
      </c>
      <c r="AL27" s="102">
        <v>7.2826766807070387</v>
      </c>
      <c r="AM27" s="102">
        <v>19.110314980516581</v>
      </c>
      <c r="AN27" s="102">
        <v>2.9513312648563059</v>
      </c>
      <c r="AO27" s="102">
        <v>14.652461446435375</v>
      </c>
      <c r="AP27" s="102">
        <v>4.3720755585463555</v>
      </c>
      <c r="AQ27" s="102">
        <v>1.7277626400930399</v>
      </c>
      <c r="AR27" s="102">
        <v>5.5259087743901558</v>
      </c>
      <c r="AS27" s="102">
        <v>1.0008548667895125</v>
      </c>
      <c r="AT27" s="102">
        <v>6.2391361705083952</v>
      </c>
      <c r="AU27" s="102">
        <v>1.2816589313283184</v>
      </c>
      <c r="AV27" s="102">
        <v>3.5798204870314163</v>
      </c>
      <c r="AW27" s="102">
        <v>0.50098224042719108</v>
      </c>
      <c r="AX27" s="102">
        <v>3.148875311284312</v>
      </c>
      <c r="AY27" s="102">
        <v>0.41644879413949026</v>
      </c>
      <c r="AZ27" s="102">
        <v>3.0828123605378215</v>
      </c>
      <c r="BA27" s="102">
        <v>0.53447792112817016</v>
      </c>
      <c r="BB27" s="102">
        <v>0.86259753335486089</v>
      </c>
      <c r="BC27" s="102">
        <v>0.67635067902978308</v>
      </c>
      <c r="BD27" s="102">
        <v>0.19798200610015471</v>
      </c>
    </row>
    <row r="28" spans="1:56">
      <c r="A28" s="100" t="s">
        <v>273</v>
      </c>
      <c r="C28" s="100" t="s">
        <v>261</v>
      </c>
      <c r="E28" s="81" t="s">
        <v>129</v>
      </c>
      <c r="F28" s="81" t="s">
        <v>130</v>
      </c>
      <c r="L28" s="81">
        <v>47.362000000000002</v>
      </c>
      <c r="M28" s="81">
        <v>2.7450000000000001</v>
      </c>
      <c r="N28" s="81">
        <v>13.217000000000001</v>
      </c>
      <c r="O28" s="81">
        <v>15.882</v>
      </c>
      <c r="P28" s="81">
        <v>0.20899999999999999</v>
      </c>
      <c r="Q28" s="81">
        <v>6.5839999999999996</v>
      </c>
      <c r="R28" s="81">
        <v>8.3949999999999996</v>
      </c>
      <c r="S28" s="81">
        <v>3.2250000000000001</v>
      </c>
      <c r="T28" s="81">
        <v>0.24399999999999999</v>
      </c>
      <c r="U28" s="81">
        <v>0.22700000000000001</v>
      </c>
      <c r="V28" s="102">
        <v>3.5304464360500214</v>
      </c>
      <c r="W28" s="102">
        <v>9.5055762635662955</v>
      </c>
      <c r="X28" s="102">
        <v>44.258304828018076</v>
      </c>
      <c r="Y28" s="102">
        <v>390.51026234631621</v>
      </c>
      <c r="Z28" s="102">
        <v>72.449671833622958</v>
      </c>
      <c r="AA28" s="102">
        <v>54.769274201582164</v>
      </c>
      <c r="AB28" s="102">
        <v>114.53743484007104</v>
      </c>
      <c r="AC28" s="102">
        <v>114.825694109111</v>
      </c>
      <c r="AD28" s="102">
        <v>22.732326274765168</v>
      </c>
      <c r="AE28" s="102">
        <v>2.664465843538129</v>
      </c>
      <c r="AF28" s="102">
        <v>188.08054000767527</v>
      </c>
      <c r="AG28" s="102">
        <v>44.763830399147196</v>
      </c>
      <c r="AH28" s="102">
        <v>152.20005720566607</v>
      </c>
      <c r="AI28" s="102">
        <v>9.5592141537860549</v>
      </c>
      <c r="AJ28" s="102">
        <v>3.6486772850668626E-2</v>
      </c>
      <c r="AK28" s="102">
        <v>45.631156298819796</v>
      </c>
      <c r="AL28" s="102">
        <v>9.2521982936259164</v>
      </c>
      <c r="AM28" s="102">
        <v>24.321043742722622</v>
      </c>
      <c r="AN28" s="102">
        <v>3.67507802775352</v>
      </c>
      <c r="AO28" s="102">
        <v>18.314771952980237</v>
      </c>
      <c r="AP28" s="102">
        <v>5.7717281755099821</v>
      </c>
      <c r="AQ28" s="102">
        <v>1.8274332454319555</v>
      </c>
      <c r="AR28" s="102">
        <v>7.2783375738751177</v>
      </c>
      <c r="AS28" s="102">
        <v>1.2058751066849882</v>
      </c>
      <c r="AT28" s="102">
        <v>7.4838049089143786</v>
      </c>
      <c r="AU28" s="102">
        <v>1.550470030531331</v>
      </c>
      <c r="AV28" s="102">
        <v>4.3582473066068657</v>
      </c>
      <c r="AW28" s="102">
        <v>0.60951432425551366</v>
      </c>
      <c r="AX28" s="102">
        <v>3.685432331686612</v>
      </c>
      <c r="AY28" s="102">
        <v>0.56233553086165355</v>
      </c>
      <c r="AZ28" s="102">
        <v>3.6853071029351647</v>
      </c>
      <c r="BA28" s="102">
        <v>0.54522927720485381</v>
      </c>
      <c r="BB28" s="102">
        <v>1.118646082682794</v>
      </c>
      <c r="BC28" s="102">
        <v>0.7265873676619552</v>
      </c>
      <c r="BD28" s="102">
        <v>0.28838510722425792</v>
      </c>
    </row>
    <row r="29" spans="1:56">
      <c r="A29" s="100" t="s">
        <v>274</v>
      </c>
      <c r="C29" s="100" t="s">
        <v>262</v>
      </c>
      <c r="E29" s="81" t="s">
        <v>129</v>
      </c>
      <c r="F29" s="81" t="s">
        <v>130</v>
      </c>
      <c r="L29" s="81">
        <v>48.255000000000003</v>
      </c>
      <c r="M29" s="81">
        <v>2.31</v>
      </c>
      <c r="N29" s="81">
        <v>14.76</v>
      </c>
      <c r="O29" s="81">
        <v>14.603</v>
      </c>
      <c r="P29" s="81">
        <v>0.20499999999999999</v>
      </c>
      <c r="Q29" s="81">
        <v>6.6429999999999998</v>
      </c>
      <c r="R29" s="81">
        <v>9.0809999999999995</v>
      </c>
      <c r="S29" s="81">
        <v>3.1549999999999998</v>
      </c>
      <c r="T29" s="81">
        <v>0.189</v>
      </c>
      <c r="U29" s="81">
        <v>0.22600000000000001</v>
      </c>
      <c r="V29" s="102">
        <v>3.1538339166401497</v>
      </c>
      <c r="W29" s="102">
        <v>8.132475927603469</v>
      </c>
      <c r="X29" s="102">
        <v>34.259457296636967</v>
      </c>
      <c r="Y29" s="102">
        <v>336.80309571761092</v>
      </c>
      <c r="Z29" s="102">
        <v>57.630970461462844</v>
      </c>
      <c r="AA29" s="102">
        <v>51.175504668038705</v>
      </c>
      <c r="AB29" s="102">
        <v>251.22745763970434</v>
      </c>
      <c r="AC29" s="102">
        <v>96.246039164702609</v>
      </c>
      <c r="AD29" s="102">
        <v>21.253839676080954</v>
      </c>
      <c r="AE29" s="102">
        <v>1.6785401131645958</v>
      </c>
      <c r="AF29" s="102">
        <v>186.02777015639157</v>
      </c>
      <c r="AG29" s="102">
        <v>45.280516839834092</v>
      </c>
      <c r="AH29" s="102">
        <v>124.09672494288195</v>
      </c>
      <c r="AI29" s="102">
        <v>7.8414140705992059</v>
      </c>
      <c r="AJ29" s="102">
        <v>2.2016557612726383E-2</v>
      </c>
      <c r="AK29" s="102">
        <v>28.802548312009886</v>
      </c>
      <c r="AL29" s="102">
        <v>8.1336341241856918</v>
      </c>
      <c r="AM29" s="102">
        <v>20.779302991986384</v>
      </c>
      <c r="AN29" s="102">
        <v>3.1524099485624242</v>
      </c>
      <c r="AO29" s="102">
        <v>15.614154245489388</v>
      </c>
      <c r="AP29" s="102">
        <v>5.1339337009070176</v>
      </c>
      <c r="AQ29" s="102">
        <v>1.6716323023958337</v>
      </c>
      <c r="AR29" s="102">
        <v>6.5562825970018377</v>
      </c>
      <c r="AS29" s="102">
        <v>1.0697683631597468</v>
      </c>
      <c r="AT29" s="102">
        <v>6.6427322395947899</v>
      </c>
      <c r="AU29" s="102">
        <v>1.4449111915202457</v>
      </c>
      <c r="AV29" s="102">
        <v>4.0684582628244357</v>
      </c>
      <c r="AW29" s="102">
        <v>0.59673877949777343</v>
      </c>
      <c r="AX29" s="102">
        <v>3.3995907318465144</v>
      </c>
      <c r="AY29" s="102">
        <v>0.52248370021647006</v>
      </c>
      <c r="AZ29" s="102">
        <v>3.0579989314184672</v>
      </c>
      <c r="BA29" s="102">
        <v>0.46973895941900051</v>
      </c>
      <c r="BB29" s="102">
        <v>0.95033445415563678</v>
      </c>
      <c r="BC29" s="102">
        <v>0.58852715080447127</v>
      </c>
      <c r="BD29" s="102">
        <v>0.24085211711994442</v>
      </c>
    </row>
    <row r="30" spans="1:56">
      <c r="A30" s="100" t="s">
        <v>288</v>
      </c>
      <c r="C30" s="100" t="s">
        <v>275</v>
      </c>
      <c r="E30" s="81" t="s">
        <v>129</v>
      </c>
      <c r="F30" s="81" t="s">
        <v>130</v>
      </c>
      <c r="L30" s="81">
        <v>52.345999999999997</v>
      </c>
      <c r="M30" s="81">
        <v>2.254</v>
      </c>
      <c r="N30" s="81">
        <v>11.407999999999999</v>
      </c>
      <c r="O30" s="81">
        <v>7.4210000000000003</v>
      </c>
      <c r="P30" s="81">
        <v>0.73499999999999999</v>
      </c>
      <c r="Q30" s="81">
        <v>2.633</v>
      </c>
      <c r="R30" s="81">
        <v>8.2409999999999997</v>
      </c>
      <c r="S30" s="81">
        <v>3.0880000000000001</v>
      </c>
      <c r="T30" s="81">
        <v>0.47299999999999998</v>
      </c>
      <c r="U30" s="81">
        <v>0.78300000000000003</v>
      </c>
      <c r="V30" s="102">
        <v>7.1139404802373383</v>
      </c>
      <c r="W30" s="102">
        <v>32.238620478014553</v>
      </c>
      <c r="X30" s="102">
        <v>54.090982146052887</v>
      </c>
      <c r="Y30" s="102">
        <v>442.16076954836535</v>
      </c>
      <c r="Z30" s="102">
        <v>285.70995998872399</v>
      </c>
      <c r="AA30" s="102">
        <v>84.058474654474594</v>
      </c>
      <c r="AB30" s="102">
        <v>219.62311183423284</v>
      </c>
      <c r="AC30" s="102">
        <v>120.07508268546643</v>
      </c>
      <c r="AD30" s="102">
        <v>23.615004443890182</v>
      </c>
      <c r="AE30" s="102">
        <v>6.2529597434889546</v>
      </c>
      <c r="AF30" s="102">
        <v>277.35600899941238</v>
      </c>
      <c r="AG30" s="102">
        <v>51.221447297878051</v>
      </c>
      <c r="AH30" s="102">
        <v>187.90577987203105</v>
      </c>
      <c r="AI30" s="102">
        <v>16.394674858950005</v>
      </c>
      <c r="AJ30" s="102">
        <v>2.8287052520991784E-2</v>
      </c>
      <c r="AK30" s="102">
        <v>111.81127241676181</v>
      </c>
      <c r="AL30" s="102">
        <v>15.496372712094951</v>
      </c>
      <c r="AM30" s="102">
        <v>36.54075324191394</v>
      </c>
      <c r="AN30" s="102">
        <v>5.2201927107701671</v>
      </c>
      <c r="AO30" s="102">
        <v>24.341488227962863</v>
      </c>
      <c r="AP30" s="102">
        <v>7.1664674358474985</v>
      </c>
      <c r="AQ30" s="102">
        <v>2.1555382650992772</v>
      </c>
      <c r="AR30" s="102">
        <v>8.265893444727654</v>
      </c>
      <c r="AS30" s="102">
        <v>1.3155311541084618</v>
      </c>
      <c r="AT30" s="102">
        <v>8.3565565333535581</v>
      </c>
      <c r="AU30" s="102">
        <v>1.6655010385645119</v>
      </c>
      <c r="AV30" s="102">
        <v>4.7808168509767892</v>
      </c>
      <c r="AW30" s="102">
        <v>0.6697625571174266</v>
      </c>
      <c r="AX30" s="102">
        <v>4.1932838029886366</v>
      </c>
      <c r="AY30" s="102">
        <v>0.64399021309399029</v>
      </c>
      <c r="AZ30" s="102">
        <v>4.4198957243048378</v>
      </c>
      <c r="BA30" s="102">
        <v>0.98079641420105046</v>
      </c>
      <c r="BB30" s="102">
        <v>1.7836848729413477</v>
      </c>
      <c r="BC30" s="102">
        <v>1.7104170218767345</v>
      </c>
      <c r="BD30" s="102">
        <v>1.4910617834938991</v>
      </c>
    </row>
    <row r="31" spans="1:56">
      <c r="A31" s="100" t="s">
        <v>289</v>
      </c>
      <c r="C31" s="100" t="s">
        <v>276</v>
      </c>
      <c r="E31" s="81" t="s">
        <v>129</v>
      </c>
      <c r="F31" s="81" t="s">
        <v>130</v>
      </c>
      <c r="L31" s="81">
        <v>50.256</v>
      </c>
      <c r="M31" s="81">
        <v>2.6160000000000001</v>
      </c>
      <c r="N31" s="81">
        <v>13.486000000000001</v>
      </c>
      <c r="O31" s="81">
        <v>12.936999999999999</v>
      </c>
      <c r="P31" s="81">
        <v>0.22800000000000001</v>
      </c>
      <c r="Q31" s="81">
        <v>6.1070000000000002</v>
      </c>
      <c r="R31" s="81">
        <v>10.592000000000001</v>
      </c>
      <c r="S31" s="81">
        <v>2.6909999999999998</v>
      </c>
      <c r="T31" s="81">
        <v>0.32100000000000001</v>
      </c>
      <c r="U31" s="81">
        <v>0.26800000000000002</v>
      </c>
      <c r="V31" s="102">
        <v>2.7756384584578315</v>
      </c>
      <c r="W31" s="102">
        <v>8.5876713170397636</v>
      </c>
      <c r="X31" s="102">
        <v>46.424256265936904</v>
      </c>
      <c r="Y31" s="102">
        <v>387.64328439572535</v>
      </c>
      <c r="Z31" s="102">
        <v>227.2135561684708</v>
      </c>
      <c r="AA31" s="102">
        <v>54.180853559612395</v>
      </c>
      <c r="AB31" s="102">
        <v>198.11751021232362</v>
      </c>
      <c r="AC31" s="102">
        <v>114.61751048179229</v>
      </c>
      <c r="AD31" s="102">
        <v>21.522116117407098</v>
      </c>
      <c r="AE31" s="102">
        <v>3.8411755889198895</v>
      </c>
      <c r="AF31" s="102">
        <v>219.63517168970372</v>
      </c>
      <c r="AG31" s="102">
        <v>39.49871904879344</v>
      </c>
      <c r="AH31" s="102">
        <v>171.86185102982884</v>
      </c>
      <c r="AI31" s="102">
        <v>14.952172014856016</v>
      </c>
      <c r="AJ31" s="102">
        <v>1.6379002491584575E-2</v>
      </c>
      <c r="AK31" s="102">
        <v>89.104990799130604</v>
      </c>
      <c r="AL31" s="102">
        <v>12.976837544098618</v>
      </c>
      <c r="AM31" s="102">
        <v>32.122402382895679</v>
      </c>
      <c r="AN31" s="102">
        <v>4.5490868535875677</v>
      </c>
      <c r="AO31" s="102">
        <v>20.762236206653832</v>
      </c>
      <c r="AP31" s="102">
        <v>5.8537270987289336</v>
      </c>
      <c r="AQ31" s="102">
        <v>1.8311631399054022</v>
      </c>
      <c r="AR31" s="102">
        <v>6.8451284445724951</v>
      </c>
      <c r="AS31" s="102">
        <v>1.063468572781548</v>
      </c>
      <c r="AT31" s="102">
        <v>6.7789228096722534</v>
      </c>
      <c r="AU31" s="102">
        <v>1.3715856836611979</v>
      </c>
      <c r="AV31" s="102">
        <v>3.7737329716621884</v>
      </c>
      <c r="AW31" s="102">
        <v>0.52419539456358022</v>
      </c>
      <c r="AX31" s="102">
        <v>3.3078175778654519</v>
      </c>
      <c r="AY31" s="102">
        <v>0.47413018202448765</v>
      </c>
      <c r="AZ31" s="102">
        <v>4.0924946095981563</v>
      </c>
      <c r="BA31" s="102">
        <v>0.83829781317090535</v>
      </c>
      <c r="BB31" s="102">
        <v>1.5179256824953125</v>
      </c>
      <c r="BC31" s="102">
        <v>1.5080146461998987</v>
      </c>
      <c r="BD31" s="102">
        <v>0.42203526180166107</v>
      </c>
    </row>
    <row r="32" spans="1:56">
      <c r="A32" s="100" t="s">
        <v>290</v>
      </c>
      <c r="C32" s="100" t="s">
        <v>277</v>
      </c>
      <c r="E32" s="81" t="s">
        <v>129</v>
      </c>
      <c r="F32" s="81" t="s">
        <v>130</v>
      </c>
      <c r="L32" s="81">
        <v>48.680999999999997</v>
      </c>
      <c r="M32" s="81">
        <v>3.202</v>
      </c>
      <c r="N32" s="81">
        <v>13.733000000000001</v>
      </c>
      <c r="O32" s="81">
        <v>13.121</v>
      </c>
      <c r="P32" s="81">
        <v>0.20699999999999999</v>
      </c>
      <c r="Q32" s="81">
        <v>5.9859999999999998</v>
      </c>
      <c r="R32" s="81">
        <v>9.1760000000000002</v>
      </c>
      <c r="S32" s="81">
        <v>3.0179999999999998</v>
      </c>
      <c r="T32" s="81">
        <v>0.32</v>
      </c>
      <c r="U32" s="81">
        <v>0.34799999999999998</v>
      </c>
      <c r="V32" s="102">
        <v>3.0326956896241772</v>
      </c>
      <c r="W32" s="102">
        <v>7.5577636954136072</v>
      </c>
      <c r="X32" s="102">
        <v>44.817504851684618</v>
      </c>
      <c r="Y32" s="102">
        <v>398.83198956185277</v>
      </c>
      <c r="Z32" s="102">
        <v>164.4441027134354</v>
      </c>
      <c r="AA32" s="102">
        <v>56.992063452393474</v>
      </c>
      <c r="AB32" s="102">
        <v>233.00196519853503</v>
      </c>
      <c r="AC32" s="102">
        <v>136.67817433944566</v>
      </c>
      <c r="AD32" s="102">
        <v>22.721223825885509</v>
      </c>
      <c r="AE32" s="102">
        <v>1.4434697076072835</v>
      </c>
      <c r="AF32" s="102">
        <v>232.11340291097443</v>
      </c>
      <c r="AG32" s="102">
        <v>42.384817521604425</v>
      </c>
      <c r="AH32" s="102">
        <v>220.19449961250919</v>
      </c>
      <c r="AI32" s="102">
        <v>19.123122682274769</v>
      </c>
      <c r="AJ32" s="102">
        <v>1.1519305258040418E-2</v>
      </c>
      <c r="AK32" s="102">
        <v>97.948076698375985</v>
      </c>
      <c r="AL32" s="102">
        <v>16.351427636928531</v>
      </c>
      <c r="AM32" s="102">
        <v>40.245676972576604</v>
      </c>
      <c r="AN32" s="102">
        <v>5.6966619039982023</v>
      </c>
      <c r="AO32" s="102">
        <v>26.269023711649215</v>
      </c>
      <c r="AP32" s="102">
        <v>7.1207539810169145</v>
      </c>
      <c r="AQ32" s="102">
        <v>2.1277685661792529</v>
      </c>
      <c r="AR32" s="102">
        <v>7.9261888240065321</v>
      </c>
      <c r="AS32" s="102">
        <v>1.2833388273496187</v>
      </c>
      <c r="AT32" s="102">
        <v>7.8565810591488399</v>
      </c>
      <c r="AU32" s="102">
        <v>1.5094369975693278</v>
      </c>
      <c r="AV32" s="102">
        <v>4.2608438412587804</v>
      </c>
      <c r="AW32" s="102">
        <v>0.61950511089765392</v>
      </c>
      <c r="AX32" s="102">
        <v>3.7321263639846105</v>
      </c>
      <c r="AY32" s="102">
        <v>0.52428420538158127</v>
      </c>
      <c r="AZ32" s="102">
        <v>5.1483754990107391</v>
      </c>
      <c r="BA32" s="102">
        <v>1.1289549970493946</v>
      </c>
      <c r="BB32" s="102">
        <v>2.0758058185231119</v>
      </c>
      <c r="BC32" s="102">
        <v>1.9054429859025839</v>
      </c>
      <c r="BD32" s="102">
        <v>0.5594225859188352</v>
      </c>
    </row>
    <row r="33" spans="1:56">
      <c r="A33" s="100" t="s">
        <v>291</v>
      </c>
      <c r="C33" s="100" t="s">
        <v>278</v>
      </c>
      <c r="E33" s="81" t="s">
        <v>129</v>
      </c>
      <c r="F33" s="81" t="s">
        <v>130</v>
      </c>
      <c r="L33" s="81">
        <v>49.045999999999999</v>
      </c>
      <c r="M33" s="81">
        <v>2.173</v>
      </c>
      <c r="N33" s="81">
        <v>12.92</v>
      </c>
      <c r="O33" s="81">
        <v>15.836</v>
      </c>
      <c r="P33" s="81">
        <v>0.27900000000000003</v>
      </c>
      <c r="Q33" s="81">
        <v>5.9139999999999997</v>
      </c>
      <c r="R33" s="81">
        <v>9.6370000000000005</v>
      </c>
      <c r="S33" s="81">
        <v>2.6509999999999998</v>
      </c>
      <c r="T33" s="81">
        <v>0.14599999999999999</v>
      </c>
      <c r="U33" s="81">
        <v>0.22500000000000001</v>
      </c>
      <c r="V33" s="102">
        <v>1.5211068312240448</v>
      </c>
      <c r="W33" s="102">
        <v>11.755510010538773</v>
      </c>
      <c r="X33" s="102">
        <v>46.884291500307583</v>
      </c>
      <c r="Y33" s="102">
        <v>439.44427195015891</v>
      </c>
      <c r="Z33" s="102">
        <v>164.50664533749725</v>
      </c>
      <c r="AA33" s="102">
        <v>53.382961259410294</v>
      </c>
      <c r="AB33" s="102">
        <v>194.23110977627653</v>
      </c>
      <c r="AC33" s="102">
        <v>135.01974557554669</v>
      </c>
      <c r="AD33" s="102">
        <v>21.119989552641261</v>
      </c>
      <c r="AE33" s="102">
        <v>0.72445423775155737</v>
      </c>
      <c r="AF33" s="102">
        <v>158.00602540877162</v>
      </c>
      <c r="AG33" s="102">
        <v>38.580300945266984</v>
      </c>
      <c r="AH33" s="102">
        <v>132.69881295298356</v>
      </c>
      <c r="AI33" s="102">
        <v>10.342392770183226</v>
      </c>
      <c r="AJ33" s="102">
        <v>1.1381022897507092E-2</v>
      </c>
      <c r="AK33" s="102">
        <v>47.551422916063856</v>
      </c>
      <c r="AL33" s="102">
        <v>8.7376922034004245</v>
      </c>
      <c r="AM33" s="102">
        <v>22.285896788624498</v>
      </c>
      <c r="AN33" s="102">
        <v>3.3118391225239319</v>
      </c>
      <c r="AO33" s="102">
        <v>15.721041418320464</v>
      </c>
      <c r="AP33" s="102">
        <v>4.7289884267323261</v>
      </c>
      <c r="AQ33" s="102">
        <v>1.5304804780970118</v>
      </c>
      <c r="AR33" s="102">
        <v>5.9271943142583661</v>
      </c>
      <c r="AS33" s="102">
        <v>0.94600792853993798</v>
      </c>
      <c r="AT33" s="102">
        <v>6.3414733969508799</v>
      </c>
      <c r="AU33" s="102">
        <v>1.244078498497289</v>
      </c>
      <c r="AV33" s="102">
        <v>3.7386560251864234</v>
      </c>
      <c r="AW33" s="102">
        <v>0.57762100362165569</v>
      </c>
      <c r="AX33" s="102">
        <v>3.471069398445398</v>
      </c>
      <c r="AY33" s="102">
        <v>0.50239603131873634</v>
      </c>
      <c r="AZ33" s="102">
        <v>3.2324160265390112</v>
      </c>
      <c r="BA33" s="102">
        <v>0.58623726000987031</v>
      </c>
      <c r="BB33" s="102">
        <v>0.91953877456273037</v>
      </c>
      <c r="BC33" s="102">
        <v>0.77655586823165867</v>
      </c>
      <c r="BD33" s="102">
        <v>0.21588226205198216</v>
      </c>
    </row>
    <row r="34" spans="1:56">
      <c r="A34" s="100" t="s">
        <v>292</v>
      </c>
      <c r="C34" s="100" t="s">
        <v>279</v>
      </c>
      <c r="E34" s="81" t="s">
        <v>129</v>
      </c>
      <c r="F34" s="81" t="s">
        <v>130</v>
      </c>
      <c r="L34" s="81">
        <v>49.642000000000003</v>
      </c>
      <c r="M34" s="81">
        <v>1.984</v>
      </c>
      <c r="N34" s="81">
        <v>13.244999999999999</v>
      </c>
      <c r="O34" s="81">
        <v>13.847</v>
      </c>
      <c r="P34" s="81">
        <v>0.28499999999999998</v>
      </c>
      <c r="Q34" s="81">
        <v>7.069</v>
      </c>
      <c r="R34" s="81">
        <v>10.212</v>
      </c>
      <c r="S34" s="81">
        <v>2.4950000000000001</v>
      </c>
      <c r="T34" s="81">
        <v>0.185</v>
      </c>
      <c r="U34" s="81">
        <v>0.20300000000000001</v>
      </c>
      <c r="V34" s="102">
        <v>2.8710668503018972</v>
      </c>
      <c r="W34" s="102">
        <v>11.853149275459652</v>
      </c>
      <c r="X34" s="102">
        <v>49.314399535544133</v>
      </c>
      <c r="Y34" s="102">
        <v>349.84336025380156</v>
      </c>
      <c r="Z34" s="102">
        <v>203.08554434499339</v>
      </c>
      <c r="AA34" s="102">
        <v>53.244146845420339</v>
      </c>
      <c r="AB34" s="102">
        <v>141.18220931356313</v>
      </c>
      <c r="AC34" s="102">
        <v>97.296410847569987</v>
      </c>
      <c r="AD34" s="102">
        <v>19.831466493240054</v>
      </c>
      <c r="AE34" s="102">
        <v>1.1304776781614898</v>
      </c>
      <c r="AF34" s="102">
        <v>175.2420022046293</v>
      </c>
      <c r="AG34" s="102">
        <v>31.376977633382143</v>
      </c>
      <c r="AH34" s="102">
        <v>122.10541494173596</v>
      </c>
      <c r="AI34" s="102">
        <v>9.6595156109096845</v>
      </c>
      <c r="AJ34" s="102">
        <v>1.7174664641516308E-2</v>
      </c>
      <c r="AK34" s="102">
        <v>39.719332984378951</v>
      </c>
      <c r="AL34" s="102">
        <v>8.4536460238947857</v>
      </c>
      <c r="AM34" s="102">
        <v>21.686642272440228</v>
      </c>
      <c r="AN34" s="102">
        <v>3.2105999168584822</v>
      </c>
      <c r="AO34" s="102">
        <v>15.150787376239741</v>
      </c>
      <c r="AP34" s="102">
        <v>4.5397908622390233</v>
      </c>
      <c r="AQ34" s="102">
        <v>1.5666588463562945</v>
      </c>
      <c r="AR34" s="102">
        <v>5.5282199424296978</v>
      </c>
      <c r="AS34" s="102">
        <v>0.86373672746098795</v>
      </c>
      <c r="AT34" s="102">
        <v>5.6505151367624524</v>
      </c>
      <c r="AU34" s="102">
        <v>1.1120600193232162</v>
      </c>
      <c r="AV34" s="102">
        <v>3.1194073260824582</v>
      </c>
      <c r="AW34" s="102">
        <v>0.4668101296730745</v>
      </c>
      <c r="AX34" s="102">
        <v>2.8007686200443214</v>
      </c>
      <c r="AY34" s="102">
        <v>0.40917811100547685</v>
      </c>
      <c r="AZ34" s="102">
        <v>3.0216283760212863</v>
      </c>
      <c r="BA34" s="102">
        <v>0.61456162676761295</v>
      </c>
      <c r="BB34" s="102">
        <v>0.75223176076002118</v>
      </c>
      <c r="BC34" s="102">
        <v>0.74530004915360537</v>
      </c>
      <c r="BD34" s="102">
        <v>0.14555655088253608</v>
      </c>
    </row>
    <row r="35" spans="1:56">
      <c r="A35" s="100" t="s">
        <v>293</v>
      </c>
      <c r="C35" s="100" t="s">
        <v>280</v>
      </c>
      <c r="E35" s="81" t="s">
        <v>129</v>
      </c>
      <c r="F35" s="81" t="s">
        <v>130</v>
      </c>
      <c r="L35" s="81">
        <v>48.963999999999999</v>
      </c>
      <c r="M35" s="81">
        <v>1.837</v>
      </c>
      <c r="N35" s="81">
        <v>15.794</v>
      </c>
      <c r="O35" s="81">
        <v>13.375</v>
      </c>
      <c r="P35" s="81">
        <v>0.224</v>
      </c>
      <c r="Q35" s="81">
        <v>6.6820000000000004</v>
      </c>
      <c r="R35" s="81">
        <v>10.59</v>
      </c>
      <c r="S35" s="81">
        <v>2.653</v>
      </c>
      <c r="T35" s="81">
        <v>0.16300000000000001</v>
      </c>
      <c r="U35" s="81">
        <v>0.16600000000000001</v>
      </c>
      <c r="V35" s="102">
        <v>3.5742229177039708</v>
      </c>
      <c r="W35" s="102">
        <v>10.585224852620184</v>
      </c>
      <c r="X35" s="102">
        <v>40.911803907826339</v>
      </c>
      <c r="Y35" s="102">
        <v>308.50243643548356</v>
      </c>
      <c r="Z35" s="102">
        <v>199.31600552621731</v>
      </c>
      <c r="AA35" s="102">
        <v>48.517691968830889</v>
      </c>
      <c r="AB35" s="102">
        <v>126.21383486659319</v>
      </c>
      <c r="AC35" s="102">
        <v>223.44206926058416</v>
      </c>
      <c r="AD35" s="102">
        <v>19.77942055268197</v>
      </c>
      <c r="AE35" s="102">
        <v>1.0003346526366044</v>
      </c>
      <c r="AF35" s="102">
        <v>189.08478599509473</v>
      </c>
      <c r="AG35" s="102">
        <v>28.697161867266168</v>
      </c>
      <c r="AH35" s="102">
        <v>109.74167791731693</v>
      </c>
      <c r="AI35" s="102">
        <v>8.7421013498587303</v>
      </c>
      <c r="AJ35" s="102">
        <v>1.1401665822633175E-2</v>
      </c>
      <c r="AK35" s="102">
        <v>32.797951254921898</v>
      </c>
      <c r="AL35" s="102">
        <v>7.4883108748681675</v>
      </c>
      <c r="AM35" s="102">
        <v>18.971583209104388</v>
      </c>
      <c r="AN35" s="102">
        <v>2.774262349624625</v>
      </c>
      <c r="AO35" s="102">
        <v>13.233012459718926</v>
      </c>
      <c r="AP35" s="102">
        <v>4.1337535266567764</v>
      </c>
      <c r="AQ35" s="102">
        <v>1.298480191536453</v>
      </c>
      <c r="AR35" s="102">
        <v>4.8953790135702659</v>
      </c>
      <c r="AS35" s="102">
        <v>0.74338776841622756</v>
      </c>
      <c r="AT35" s="102">
        <v>4.9614249964603649</v>
      </c>
      <c r="AU35" s="102">
        <v>0.96630543787793233</v>
      </c>
      <c r="AV35" s="102">
        <v>2.7471335978906084</v>
      </c>
      <c r="AW35" s="102">
        <v>0.4007093782814285</v>
      </c>
      <c r="AX35" s="102">
        <v>2.3935062803929146</v>
      </c>
      <c r="AY35" s="102">
        <v>0.33594118280705909</v>
      </c>
      <c r="AZ35" s="102">
        <v>2.5494254174384703</v>
      </c>
      <c r="BA35" s="102">
        <v>0.4666920221195805</v>
      </c>
      <c r="BB35" s="102">
        <v>0.8321751346516395</v>
      </c>
      <c r="BC35" s="102">
        <v>0.67966645254161517</v>
      </c>
      <c r="BD35" s="102">
        <v>0.15994681983456027</v>
      </c>
    </row>
    <row r="36" spans="1:56">
      <c r="A36" s="100" t="s">
        <v>294</v>
      </c>
      <c r="C36" s="100" t="s">
        <v>281</v>
      </c>
      <c r="E36" s="81" t="s">
        <v>129</v>
      </c>
      <c r="F36" s="81" t="s">
        <v>130</v>
      </c>
      <c r="L36" s="81">
        <v>49.62</v>
      </c>
      <c r="M36" s="81">
        <v>1.7290000000000001</v>
      </c>
      <c r="N36" s="81">
        <v>14.475</v>
      </c>
      <c r="O36" s="81">
        <v>12.717000000000001</v>
      </c>
      <c r="P36" s="81">
        <v>0.33400000000000002</v>
      </c>
      <c r="Q36" s="81">
        <v>6.7640000000000002</v>
      </c>
      <c r="R36" s="81">
        <v>9.3190000000000008</v>
      </c>
      <c r="S36" s="81">
        <v>2.625</v>
      </c>
      <c r="T36" s="81">
        <v>0.14000000000000001</v>
      </c>
      <c r="U36" s="81">
        <v>0.216</v>
      </c>
      <c r="V36" s="102">
        <v>3.5090576022796589</v>
      </c>
      <c r="W36" s="102">
        <v>14.653275191018329</v>
      </c>
      <c r="X36" s="102">
        <v>38.043259614828187</v>
      </c>
      <c r="Y36" s="102">
        <v>304.16289307060083</v>
      </c>
      <c r="Z36" s="102">
        <v>184.67307989974583</v>
      </c>
      <c r="AA36" s="102">
        <v>48.385234843110638</v>
      </c>
      <c r="AB36" s="102">
        <v>62.481497749607662</v>
      </c>
      <c r="AC36" s="102">
        <v>87.344041393038822</v>
      </c>
      <c r="AD36" s="102">
        <v>20.222277822760606</v>
      </c>
      <c r="AE36" s="102">
        <v>0.72847302796378144</v>
      </c>
      <c r="AF36" s="102">
        <v>184.49317918168612</v>
      </c>
      <c r="AG36" s="102">
        <v>28.782650530854522</v>
      </c>
      <c r="AH36" s="102">
        <v>108.67520859703072</v>
      </c>
      <c r="AI36" s="102">
        <v>8.3498939299102624</v>
      </c>
      <c r="AJ36" s="102">
        <v>7.8877826768369748E-3</v>
      </c>
      <c r="AK36" s="102">
        <v>30.680821728328919</v>
      </c>
      <c r="AL36" s="102">
        <v>7.5030944440196183</v>
      </c>
      <c r="AM36" s="102">
        <v>18.919137327092834</v>
      </c>
      <c r="AN36" s="102">
        <v>2.8353901703336915</v>
      </c>
      <c r="AO36" s="102">
        <v>13.414385731193498</v>
      </c>
      <c r="AP36" s="102">
        <v>3.9365449476753307</v>
      </c>
      <c r="AQ36" s="102">
        <v>1.3261032312143146</v>
      </c>
      <c r="AR36" s="102">
        <v>4.7678297169506196</v>
      </c>
      <c r="AS36" s="102">
        <v>0.78034098004700925</v>
      </c>
      <c r="AT36" s="102">
        <v>5.0106182721678936</v>
      </c>
      <c r="AU36" s="102">
        <v>0.98040472482953023</v>
      </c>
      <c r="AV36" s="102">
        <v>2.8513067330162758</v>
      </c>
      <c r="AW36" s="102">
        <v>0.42351002055508286</v>
      </c>
      <c r="AX36" s="102">
        <v>2.2914273249812949</v>
      </c>
      <c r="AY36" s="102">
        <v>0.34869477085701384</v>
      </c>
      <c r="AZ36" s="102">
        <v>2.6278603753318706</v>
      </c>
      <c r="BA36" s="102">
        <v>0.49939014932172443</v>
      </c>
      <c r="BB36" s="102">
        <v>0.71120084919887094</v>
      </c>
      <c r="BC36" s="102">
        <v>0.6150352559632033</v>
      </c>
      <c r="BD36" s="102">
        <v>0.15353019081805902</v>
      </c>
    </row>
    <row r="37" spans="1:56">
      <c r="A37" s="100" t="s">
        <v>295</v>
      </c>
      <c r="C37" s="100" t="s">
        <v>282</v>
      </c>
      <c r="E37" s="81" t="s">
        <v>129</v>
      </c>
      <c r="F37" s="81" t="s">
        <v>130</v>
      </c>
      <c r="L37" s="81">
        <v>49.478999999999999</v>
      </c>
      <c r="M37" s="81">
        <v>2.0270000000000001</v>
      </c>
      <c r="N37" s="81">
        <v>12.82</v>
      </c>
      <c r="O37" s="81">
        <v>13.641999999999999</v>
      </c>
      <c r="P37" s="81">
        <v>0.29599999999999999</v>
      </c>
      <c r="Q37" s="81">
        <v>7.1660000000000004</v>
      </c>
      <c r="R37" s="81">
        <v>9.4740000000000002</v>
      </c>
      <c r="S37" s="81">
        <v>2.83</v>
      </c>
      <c r="T37" s="81">
        <v>0.17499999999999999</v>
      </c>
      <c r="U37" s="81">
        <v>0.2</v>
      </c>
      <c r="V37" s="102">
        <v>2.6069592870613145</v>
      </c>
      <c r="W37" s="102">
        <v>11.027223305066853</v>
      </c>
      <c r="X37" s="102">
        <v>44.944626270893671</v>
      </c>
      <c r="Y37" s="102">
        <v>366.52119198781656</v>
      </c>
      <c r="Z37" s="102">
        <v>162.78330953683593</v>
      </c>
      <c r="AA37" s="102">
        <v>51.918870573902005</v>
      </c>
      <c r="AB37" s="102">
        <v>79.475267664619125</v>
      </c>
      <c r="AC37" s="102">
        <v>110.44561066432382</v>
      </c>
      <c r="AD37" s="102">
        <v>19.707994736521325</v>
      </c>
      <c r="AE37" s="102">
        <v>0.90375560361161222</v>
      </c>
      <c r="AF37" s="102">
        <v>181.71856232699781</v>
      </c>
      <c r="AG37" s="102">
        <v>29.772998347406286</v>
      </c>
      <c r="AH37" s="102">
        <v>120.66224229968758</v>
      </c>
      <c r="AI37" s="102">
        <v>8.8406642945022149</v>
      </c>
      <c r="AJ37" s="102">
        <v>1.784848658283306E-2</v>
      </c>
      <c r="AK37" s="102">
        <v>80.586239922379974</v>
      </c>
      <c r="AL37" s="102">
        <v>7.4588760910490288</v>
      </c>
      <c r="AM37" s="102">
        <v>19.303721625878477</v>
      </c>
      <c r="AN37" s="102">
        <v>2.8714916974301805</v>
      </c>
      <c r="AO37" s="102">
        <v>14.016184114037181</v>
      </c>
      <c r="AP37" s="102">
        <v>3.9957415572961863</v>
      </c>
      <c r="AQ37" s="102">
        <v>1.5116556352272585</v>
      </c>
      <c r="AR37" s="102">
        <v>5.0109083547578344</v>
      </c>
      <c r="AS37" s="102">
        <v>0.82816553549138372</v>
      </c>
      <c r="AT37" s="102">
        <v>5.3256130320031083</v>
      </c>
      <c r="AU37" s="102">
        <v>1.0436095385100894</v>
      </c>
      <c r="AV37" s="102">
        <v>2.9650555302735362</v>
      </c>
      <c r="AW37" s="102">
        <v>0.4383958852014751</v>
      </c>
      <c r="AX37" s="102">
        <v>2.5353666936715027</v>
      </c>
      <c r="AY37" s="102">
        <v>0.36751067694796108</v>
      </c>
      <c r="AZ37" s="102">
        <v>2.8461680196652877</v>
      </c>
      <c r="BA37" s="102">
        <v>0.48064031431514298</v>
      </c>
      <c r="BB37" s="102">
        <v>0.66937578067025305</v>
      </c>
      <c r="BC37" s="102">
        <v>0.65817670779561455</v>
      </c>
      <c r="BD37" s="102">
        <v>0.13458423041292952</v>
      </c>
    </row>
    <row r="38" spans="1:56">
      <c r="A38" s="100" t="s">
        <v>296</v>
      </c>
      <c r="C38" s="100" t="s">
        <v>283</v>
      </c>
      <c r="E38" s="81" t="s">
        <v>129</v>
      </c>
      <c r="F38" s="81" t="s">
        <v>130</v>
      </c>
      <c r="L38" s="81">
        <v>50.533000000000001</v>
      </c>
      <c r="M38" s="81">
        <v>1.5920000000000001</v>
      </c>
      <c r="N38" s="81">
        <v>13.888</v>
      </c>
      <c r="O38" s="81">
        <v>11.965</v>
      </c>
      <c r="P38" s="81">
        <v>0.34699999999999998</v>
      </c>
      <c r="Q38" s="81">
        <v>7.0730000000000004</v>
      </c>
      <c r="R38" s="81">
        <v>9.8689999999999998</v>
      </c>
      <c r="S38" s="81">
        <v>2.6850000000000001</v>
      </c>
      <c r="T38" s="81">
        <v>0.246</v>
      </c>
      <c r="U38" s="81">
        <v>0.19800000000000001</v>
      </c>
      <c r="V38" s="102">
        <v>3.5474399710413267</v>
      </c>
      <c r="W38" s="102">
        <v>7.7411648890206433</v>
      </c>
      <c r="X38" s="102">
        <v>42.736498317527776</v>
      </c>
      <c r="Y38" s="102">
        <v>315.5526734583641</v>
      </c>
      <c r="Z38" s="102">
        <v>305.64072035882214</v>
      </c>
      <c r="AA38" s="102">
        <v>53.515780661581076</v>
      </c>
      <c r="AB38" s="102">
        <v>61.07148380259995</v>
      </c>
      <c r="AC38" s="102">
        <v>90.164751706946632</v>
      </c>
      <c r="AD38" s="102">
        <v>18.741665223408535</v>
      </c>
      <c r="AE38" s="102">
        <v>2.5323118451884148</v>
      </c>
      <c r="AF38" s="102">
        <v>184.80612368506516</v>
      </c>
      <c r="AG38" s="102">
        <v>25.642239590502431</v>
      </c>
      <c r="AH38" s="102">
        <v>97.35801548214161</v>
      </c>
      <c r="AI38" s="102">
        <v>7.1098339135732109</v>
      </c>
      <c r="AJ38" s="102">
        <v>2.875506542660624E-2</v>
      </c>
      <c r="AK38" s="102">
        <v>50.158072420244395</v>
      </c>
      <c r="AL38" s="102">
        <v>6.4411173530985044</v>
      </c>
      <c r="AM38" s="102">
        <v>16.459837523599234</v>
      </c>
      <c r="AN38" s="102">
        <v>2.50225735742938</v>
      </c>
      <c r="AO38" s="102">
        <v>12.175181703173495</v>
      </c>
      <c r="AP38" s="102">
        <v>3.5772498938487911</v>
      </c>
      <c r="AQ38" s="102">
        <v>1.3163774570134179</v>
      </c>
      <c r="AR38" s="102">
        <v>4.4203238337540949</v>
      </c>
      <c r="AS38" s="102">
        <v>0.68497616393063609</v>
      </c>
      <c r="AT38" s="102">
        <v>4.5045278335200738</v>
      </c>
      <c r="AU38" s="102">
        <v>0.90140291339479495</v>
      </c>
      <c r="AV38" s="102">
        <v>2.6943888724080942</v>
      </c>
      <c r="AW38" s="102">
        <v>0.34903891786025548</v>
      </c>
      <c r="AX38" s="102">
        <v>2.052894695749425</v>
      </c>
      <c r="AY38" s="102">
        <v>0.31526739374553076</v>
      </c>
      <c r="AZ38" s="102">
        <v>2.4053390564169002</v>
      </c>
      <c r="BA38" s="102">
        <v>0.43402697895618902</v>
      </c>
      <c r="BB38" s="102">
        <v>0.54340408210070812</v>
      </c>
      <c r="BC38" s="102">
        <v>0.52662766765140834</v>
      </c>
      <c r="BD38" s="102">
        <v>0.12942971670306447</v>
      </c>
    </row>
    <row r="39" spans="1:56">
      <c r="A39" s="100" t="s">
        <v>297</v>
      </c>
      <c r="C39" s="100" t="s">
        <v>284</v>
      </c>
      <c r="E39" s="81" t="s">
        <v>129</v>
      </c>
      <c r="F39" s="81" t="s">
        <v>130</v>
      </c>
      <c r="L39" s="81">
        <v>49.533999999999999</v>
      </c>
      <c r="M39" s="81">
        <v>1.833</v>
      </c>
      <c r="N39" s="81">
        <v>14.48</v>
      </c>
      <c r="O39" s="81">
        <v>12.37</v>
      </c>
      <c r="P39" s="81">
        <v>0.23599999999999999</v>
      </c>
      <c r="Q39" s="81">
        <v>7.2969999999999997</v>
      </c>
      <c r="R39" s="81">
        <v>10.41</v>
      </c>
      <c r="S39" s="81">
        <v>2.629</v>
      </c>
      <c r="T39" s="81">
        <v>0.17100000000000001</v>
      </c>
      <c r="U39" s="81">
        <v>0.16400000000000001</v>
      </c>
      <c r="V39" s="102">
        <v>2.4287856071963718</v>
      </c>
      <c r="W39" s="102">
        <v>11.996949967676089</v>
      </c>
      <c r="X39" s="102">
        <v>44.277261077795231</v>
      </c>
      <c r="Y39" s="102">
        <v>334.92357550017505</v>
      </c>
      <c r="Z39" s="102">
        <v>265.62101171467333</v>
      </c>
      <c r="AA39" s="102">
        <v>49.098451771170538</v>
      </c>
      <c r="AB39" s="102">
        <v>127.20677617962345</v>
      </c>
      <c r="AC39" s="102">
        <v>100.22824721364249</v>
      </c>
      <c r="AD39" s="102">
        <v>20.571995554470131</v>
      </c>
      <c r="AE39" s="102">
        <v>1.3764423265887473</v>
      </c>
      <c r="AF39" s="102">
        <v>191.0154833101281</v>
      </c>
      <c r="AG39" s="102">
        <v>27.277167169129303</v>
      </c>
      <c r="AH39" s="102">
        <v>111.6106195031207</v>
      </c>
      <c r="AI39" s="102">
        <v>8.2463931998291109</v>
      </c>
      <c r="AJ39" s="102">
        <v>1.2247640149142968E-2</v>
      </c>
      <c r="AK39" s="102">
        <v>38.940213518090999</v>
      </c>
      <c r="AL39" s="102">
        <v>7.2000167283816809</v>
      </c>
      <c r="AM39" s="102">
        <v>18.400907796714034</v>
      </c>
      <c r="AN39" s="102">
        <v>2.7491900922521766</v>
      </c>
      <c r="AO39" s="102">
        <v>13.338496300564772</v>
      </c>
      <c r="AP39" s="102">
        <v>3.8218060700512115</v>
      </c>
      <c r="AQ39" s="102">
        <v>1.4079175228509029</v>
      </c>
      <c r="AR39" s="102">
        <v>4.7983553653524105</v>
      </c>
      <c r="AS39" s="102">
        <v>0.77584212172215383</v>
      </c>
      <c r="AT39" s="102">
        <v>4.9699595792847466</v>
      </c>
      <c r="AU39" s="102">
        <v>0.97256606201333096</v>
      </c>
      <c r="AV39" s="102">
        <v>2.8162957398812236</v>
      </c>
      <c r="AW39" s="102">
        <v>0.41059553062448068</v>
      </c>
      <c r="AX39" s="102">
        <v>2.4200369853297037</v>
      </c>
      <c r="AY39" s="102">
        <v>0.36273582929259207</v>
      </c>
      <c r="AZ39" s="102">
        <v>2.5675785625096212</v>
      </c>
      <c r="BA39" s="102">
        <v>0.4620911385310193</v>
      </c>
      <c r="BB39" s="102">
        <v>0.67108426148977673</v>
      </c>
      <c r="BC39" s="102">
        <v>0.64149975514695101</v>
      </c>
      <c r="BD39" s="102">
        <v>0.13830061098337845</v>
      </c>
    </row>
    <row r="40" spans="1:56">
      <c r="A40" s="100" t="s">
        <v>298</v>
      </c>
      <c r="C40" s="100" t="s">
        <v>285</v>
      </c>
      <c r="E40" s="81" t="s">
        <v>129</v>
      </c>
      <c r="F40" s="81" t="s">
        <v>130</v>
      </c>
      <c r="L40" s="81">
        <v>49.738999999999997</v>
      </c>
      <c r="M40" s="81">
        <v>1.831</v>
      </c>
      <c r="N40" s="81">
        <v>14.016</v>
      </c>
      <c r="O40" s="81">
        <v>13.231</v>
      </c>
      <c r="P40" s="81">
        <v>0.249</v>
      </c>
      <c r="Q40" s="81">
        <v>6.7389999999999999</v>
      </c>
      <c r="R40" s="81">
        <v>10.515000000000001</v>
      </c>
      <c r="S40" s="81">
        <v>2.5680000000000001</v>
      </c>
      <c r="T40" s="81">
        <v>0.308</v>
      </c>
      <c r="U40" s="81">
        <v>0.16900000000000001</v>
      </c>
      <c r="V40" s="102">
        <v>2.4652267330091737</v>
      </c>
      <c r="W40" s="102">
        <v>7.399018108878999</v>
      </c>
      <c r="X40" s="102">
        <v>46.786769001301664</v>
      </c>
      <c r="Y40" s="102">
        <v>326.66240588025016</v>
      </c>
      <c r="Z40" s="102">
        <v>262.98801827438223</v>
      </c>
      <c r="AA40" s="102">
        <v>51.300987507595224</v>
      </c>
      <c r="AB40" s="102">
        <v>132.71074027846515</v>
      </c>
      <c r="AC40" s="102">
        <v>98.169739698734418</v>
      </c>
      <c r="AD40" s="102">
        <v>18.583131320680849</v>
      </c>
      <c r="AE40" s="102">
        <v>4.118772479772435</v>
      </c>
      <c r="AF40" s="102">
        <v>177.71259617697331</v>
      </c>
      <c r="AG40" s="102">
        <v>28.245486563785306</v>
      </c>
      <c r="AH40" s="102">
        <v>107.45736111238065</v>
      </c>
      <c r="AI40" s="102">
        <v>7.7339528695788253</v>
      </c>
      <c r="AJ40" s="102">
        <v>2.991360887785215E-2</v>
      </c>
      <c r="AK40" s="102">
        <v>39.605330050715054</v>
      </c>
      <c r="AL40" s="102">
        <v>6.9480228077550823</v>
      </c>
      <c r="AM40" s="102">
        <v>18.087533999910232</v>
      </c>
      <c r="AN40" s="102">
        <v>2.6807993263351184</v>
      </c>
      <c r="AO40" s="102">
        <v>13.145774145472615</v>
      </c>
      <c r="AP40" s="102">
        <v>4.0973063913872059</v>
      </c>
      <c r="AQ40" s="102">
        <v>1.3473117534037877</v>
      </c>
      <c r="AR40" s="102">
        <v>4.7491280643666851</v>
      </c>
      <c r="AS40" s="102">
        <v>0.77845088792677697</v>
      </c>
      <c r="AT40" s="102">
        <v>5.0704562958656547</v>
      </c>
      <c r="AU40" s="102">
        <v>0.94913297219180337</v>
      </c>
      <c r="AV40" s="102">
        <v>2.8692792334509076</v>
      </c>
      <c r="AW40" s="102">
        <v>0.40189127759739074</v>
      </c>
      <c r="AX40" s="102">
        <v>2.2919654831266465</v>
      </c>
      <c r="AY40" s="102">
        <v>0.3442863656374584</v>
      </c>
      <c r="AZ40" s="102">
        <v>2.458782113239101</v>
      </c>
      <c r="BA40" s="102">
        <v>0.47550745314792875</v>
      </c>
      <c r="BB40" s="102">
        <v>0.61608010050053486</v>
      </c>
      <c r="BC40" s="102">
        <v>0.62403753352676994</v>
      </c>
      <c r="BD40" s="102">
        <v>0.13357522792686435</v>
      </c>
    </row>
    <row r="41" spans="1:56">
      <c r="A41" s="100" t="s">
        <v>299</v>
      </c>
      <c r="C41" s="100" t="s">
        <v>286</v>
      </c>
      <c r="E41" s="81" t="s">
        <v>129</v>
      </c>
      <c r="F41" s="81" t="s">
        <v>130</v>
      </c>
      <c r="L41" s="81">
        <v>49.393000000000001</v>
      </c>
      <c r="M41" s="81">
        <v>2.694</v>
      </c>
      <c r="N41" s="81">
        <v>14.696</v>
      </c>
      <c r="O41" s="81">
        <v>12.24</v>
      </c>
      <c r="P41" s="81">
        <v>0.22</v>
      </c>
      <c r="Q41" s="81">
        <v>5.0469999999999997</v>
      </c>
      <c r="R41" s="81">
        <v>10.571999999999999</v>
      </c>
      <c r="S41" s="81">
        <v>2.839</v>
      </c>
      <c r="T41" s="81">
        <v>0.40300000000000002</v>
      </c>
      <c r="U41" s="81">
        <v>0.29199999999999998</v>
      </c>
      <c r="V41" s="102">
        <v>2.3662515953226873</v>
      </c>
      <c r="W41" s="102">
        <v>9.8718297688031473</v>
      </c>
      <c r="X41" s="102">
        <v>47.006633250707587</v>
      </c>
      <c r="Y41" s="102">
        <v>378.07191010986907</v>
      </c>
      <c r="Z41" s="102">
        <v>188.49614390036686</v>
      </c>
      <c r="AA41" s="102">
        <v>53.378462724688141</v>
      </c>
      <c r="AB41" s="102">
        <v>149.22989294807903</v>
      </c>
      <c r="AC41" s="102">
        <v>122.84899206797985</v>
      </c>
      <c r="AD41" s="102">
        <v>22.89760212167657</v>
      </c>
      <c r="AE41" s="102">
        <v>4.1573971543564081</v>
      </c>
      <c r="AF41" s="102">
        <v>235.45984270008393</v>
      </c>
      <c r="AG41" s="102">
        <v>35.761931674399392</v>
      </c>
      <c r="AH41" s="102">
        <v>187.92387051911948</v>
      </c>
      <c r="AI41" s="102">
        <v>16.198837071253401</v>
      </c>
      <c r="AJ41" s="102">
        <v>2.1956558145179036E-2</v>
      </c>
      <c r="AK41" s="102">
        <v>103.50382582899826</v>
      </c>
      <c r="AL41" s="102">
        <v>12.852862446838367</v>
      </c>
      <c r="AM41" s="102">
        <v>31.855991470430837</v>
      </c>
      <c r="AN41" s="102">
        <v>4.5798268386610221</v>
      </c>
      <c r="AO41" s="102">
        <v>21.479587448877737</v>
      </c>
      <c r="AP41" s="102">
        <v>5.8421929451990824</v>
      </c>
      <c r="AQ41" s="102">
        <v>1.9889135219032441</v>
      </c>
      <c r="AR41" s="102">
        <v>6.7649249688330668</v>
      </c>
      <c r="AS41" s="102">
        <v>1.0543623981173325</v>
      </c>
      <c r="AT41" s="102">
        <v>6.4152945131991794</v>
      </c>
      <c r="AU41" s="102">
        <v>1.2107073314732704</v>
      </c>
      <c r="AV41" s="102">
        <v>3.2693875086554849</v>
      </c>
      <c r="AW41" s="102">
        <v>0.4747867425060896</v>
      </c>
      <c r="AX41" s="102">
        <v>2.7610204316156355</v>
      </c>
      <c r="AY41" s="102">
        <v>0.4264679787801896</v>
      </c>
      <c r="AZ41" s="102">
        <v>4.2460801681883762</v>
      </c>
      <c r="BA41" s="102">
        <v>0.94335280105095531</v>
      </c>
      <c r="BB41" s="102">
        <v>1.6847503207296517</v>
      </c>
      <c r="BC41" s="102">
        <v>1.6142734458850188</v>
      </c>
      <c r="BD41" s="102">
        <v>0.35754098850701399</v>
      </c>
    </row>
    <row r="42" spans="1:56">
      <c r="A42" s="100" t="s">
        <v>300</v>
      </c>
      <c r="C42" s="100" t="s">
        <v>287</v>
      </c>
      <c r="E42" s="81" t="s">
        <v>129</v>
      </c>
      <c r="F42" s="81" t="s">
        <v>130</v>
      </c>
      <c r="L42" s="81">
        <v>46.572000000000003</v>
      </c>
      <c r="M42" s="81">
        <v>3.165</v>
      </c>
      <c r="N42" s="81">
        <v>16.173999999999999</v>
      </c>
      <c r="O42" s="81">
        <v>17.86</v>
      </c>
      <c r="P42" s="81">
        <v>6.3E-2</v>
      </c>
      <c r="Q42" s="81">
        <v>2.613</v>
      </c>
      <c r="R42" s="81">
        <v>0.57399999999999995</v>
      </c>
      <c r="S42" s="81">
        <v>1.8939999999999999</v>
      </c>
      <c r="T42" s="81">
        <v>1.429</v>
      </c>
      <c r="U42" s="81">
        <v>4.2999999999999997E-2</v>
      </c>
      <c r="V42" s="102">
        <v>14.258999532491812</v>
      </c>
      <c r="W42" s="102">
        <v>29.096389829659518</v>
      </c>
      <c r="X42" s="102">
        <v>57.356708263640009</v>
      </c>
      <c r="Y42" s="102">
        <v>208.08035496805368</v>
      </c>
      <c r="Z42" s="102">
        <v>268.39879625415097</v>
      </c>
      <c r="AA42" s="102">
        <v>56.793302656957991</v>
      </c>
      <c r="AB42" s="102">
        <v>126.18402531772391</v>
      </c>
      <c r="AC42" s="102">
        <v>175.16426045645113</v>
      </c>
      <c r="AD42" s="102">
        <v>28.349634942325743</v>
      </c>
      <c r="AE42" s="102">
        <v>34.882784599908781</v>
      </c>
      <c r="AF42" s="102">
        <v>37.810938872507045</v>
      </c>
      <c r="AG42" s="102">
        <v>22.398506687997966</v>
      </c>
      <c r="AH42" s="102">
        <v>198.81034679742888</v>
      </c>
      <c r="AI42" s="102">
        <v>16.837950173885602</v>
      </c>
      <c r="AJ42" s="102">
        <v>0.9298579332548309</v>
      </c>
      <c r="AK42" s="102">
        <v>20.596810776241014</v>
      </c>
      <c r="AL42" s="102">
        <v>9.6648215906448662</v>
      </c>
      <c r="AM42" s="102">
        <v>23.916583966509918</v>
      </c>
      <c r="AN42" s="102">
        <v>3.4070683275087914</v>
      </c>
      <c r="AO42" s="102">
        <v>15.875030080397179</v>
      </c>
      <c r="AP42" s="102">
        <v>4.2557444101221025</v>
      </c>
      <c r="AQ42" s="102">
        <v>1.1996631422593977</v>
      </c>
      <c r="AR42" s="102">
        <v>4.7377915652239322</v>
      </c>
      <c r="AS42" s="102">
        <v>0.76112022072703989</v>
      </c>
      <c r="AT42" s="102">
        <v>4.6445217654174442</v>
      </c>
      <c r="AU42" s="102">
        <v>0.80883853285056317</v>
      </c>
      <c r="AV42" s="102">
        <v>2.3013651805482063</v>
      </c>
      <c r="AW42" s="102">
        <v>0.33382668055760728</v>
      </c>
      <c r="AX42" s="102">
        <v>2.1496080407900218</v>
      </c>
      <c r="AY42" s="102">
        <v>0.28744012543672059</v>
      </c>
      <c r="AZ42" s="102">
        <v>4.5669447390809399</v>
      </c>
      <c r="BA42" s="102">
        <v>0.98329196489403314</v>
      </c>
      <c r="BB42" s="102">
        <v>2.8982080239036625</v>
      </c>
      <c r="BC42" s="102">
        <v>1.6896349246415781</v>
      </c>
      <c r="BD42" s="102">
        <v>0.30839866774588531</v>
      </c>
    </row>
    <row r="43" spans="1:56">
      <c r="A43" s="100" t="s">
        <v>301</v>
      </c>
      <c r="C43" s="100" t="s">
        <v>306</v>
      </c>
      <c r="E43" s="81" t="s">
        <v>129</v>
      </c>
      <c r="F43" s="81" t="s">
        <v>130</v>
      </c>
      <c r="L43" s="81">
        <v>53.235999999999997</v>
      </c>
      <c r="M43" s="81">
        <v>1.0860000000000001</v>
      </c>
      <c r="N43" s="81">
        <v>11.397</v>
      </c>
      <c r="O43" s="81">
        <v>10.757999999999999</v>
      </c>
      <c r="P43" s="81">
        <v>0.56200000000000006</v>
      </c>
      <c r="Q43" s="81">
        <v>8.1349999999999998</v>
      </c>
      <c r="R43" s="81">
        <v>3.4609999999999999</v>
      </c>
      <c r="S43" s="81">
        <v>2.6619999999999999</v>
      </c>
      <c r="T43" s="81">
        <v>2.3740000000000001</v>
      </c>
      <c r="U43" s="81">
        <v>0.184</v>
      </c>
      <c r="V43" s="102">
        <v>7.4003725755194827</v>
      </c>
      <c r="W43" s="102">
        <v>39.25541675558955</v>
      </c>
      <c r="X43" s="102">
        <v>55.708319100802768</v>
      </c>
      <c r="Y43" s="102">
        <v>376.20009871458262</v>
      </c>
      <c r="Z43" s="102">
        <v>194.43629407124109</v>
      </c>
      <c r="AA43" s="102">
        <v>59.165367537594911</v>
      </c>
      <c r="AB43" s="102">
        <v>171.47887035649075</v>
      </c>
      <c r="AC43" s="102">
        <v>87.432699355461779</v>
      </c>
      <c r="AD43" s="102">
        <v>18.557334281779902</v>
      </c>
      <c r="AE43" s="102">
        <v>13.898882424623011</v>
      </c>
      <c r="AF43" s="102">
        <v>109.96790282018881</v>
      </c>
      <c r="AG43" s="102">
        <v>18.287453534914192</v>
      </c>
      <c r="AH43" s="102">
        <v>57.60371021248789</v>
      </c>
      <c r="AI43" s="102">
        <v>3.3394445911269024</v>
      </c>
      <c r="AJ43" s="102">
        <v>1.5191616447589987E-2</v>
      </c>
      <c r="AK43" s="102">
        <v>286.86272043377528</v>
      </c>
      <c r="AL43" s="102">
        <v>2.6858637364569962</v>
      </c>
      <c r="AM43" s="102">
        <v>7.1385056432157787</v>
      </c>
      <c r="AN43" s="102">
        <v>1.1031701234430835</v>
      </c>
      <c r="AO43" s="102">
        <v>6.0092558309912292</v>
      </c>
      <c r="AP43" s="102">
        <v>1.9773850629434473</v>
      </c>
      <c r="AQ43" s="102">
        <v>0.77441072491724572</v>
      </c>
      <c r="AR43" s="102">
        <v>2.8649056109311823</v>
      </c>
      <c r="AS43" s="102">
        <v>0.4619903612255345</v>
      </c>
      <c r="AT43" s="102">
        <v>3.2580164798568028</v>
      </c>
      <c r="AU43" s="102">
        <v>0.62273779925813211</v>
      </c>
      <c r="AV43" s="102">
        <v>1.9421425210649863</v>
      </c>
      <c r="AW43" s="102">
        <v>0.27209273972387371</v>
      </c>
      <c r="AX43" s="102">
        <v>1.6694903807554233</v>
      </c>
      <c r="AY43" s="102">
        <v>0.26080793809969188</v>
      </c>
      <c r="AZ43" s="102">
        <v>1.5364476323649565</v>
      </c>
      <c r="BA43" s="102">
        <v>0.20143406462647254</v>
      </c>
      <c r="BB43" s="102">
        <v>0.48280535467015118</v>
      </c>
      <c r="BC43" s="102">
        <v>0.23978857071541498</v>
      </c>
      <c r="BD43" s="102">
        <v>6.3116420543204627E-2</v>
      </c>
    </row>
    <row r="44" spans="1:56">
      <c r="A44" s="100" t="s">
        <v>302</v>
      </c>
      <c r="C44" s="100" t="s">
        <v>307</v>
      </c>
      <c r="E44" s="81" t="s">
        <v>129</v>
      </c>
      <c r="F44" s="81" t="s">
        <v>130</v>
      </c>
      <c r="L44" s="81">
        <v>50.686999999999998</v>
      </c>
      <c r="M44" s="81">
        <v>1.3879999999999999</v>
      </c>
      <c r="N44" s="81">
        <v>14.589</v>
      </c>
      <c r="O44" s="81">
        <v>11.852</v>
      </c>
      <c r="P44" s="81">
        <v>0.33200000000000002</v>
      </c>
      <c r="Q44" s="81">
        <v>7.6440000000000001</v>
      </c>
      <c r="R44" s="81">
        <v>6.89</v>
      </c>
      <c r="S44" s="81">
        <v>3.1320000000000001</v>
      </c>
      <c r="T44" s="81">
        <v>0.71699999999999997</v>
      </c>
      <c r="U44" s="81">
        <v>0.14799999999999999</v>
      </c>
      <c r="V44" s="102">
        <v>2.9468267581474712</v>
      </c>
      <c r="W44" s="102">
        <v>11.744406930789372</v>
      </c>
      <c r="X44" s="102">
        <v>65.47336184243288</v>
      </c>
      <c r="Y44" s="102">
        <v>437.71524320053527</v>
      </c>
      <c r="Z44" s="102">
        <v>251.22755108580753</v>
      </c>
      <c r="AA44" s="102">
        <v>64.81809759418519</v>
      </c>
      <c r="AB44" s="102">
        <v>168.00698574046618</v>
      </c>
      <c r="AC44" s="102">
        <v>163.80762528918092</v>
      </c>
      <c r="AD44" s="102">
        <v>20.372487838936536</v>
      </c>
      <c r="AE44" s="102">
        <v>4.1953956134834982</v>
      </c>
      <c r="AF44" s="102">
        <v>120.14222761477029</v>
      </c>
      <c r="AG44" s="102">
        <v>23.78337331280833</v>
      </c>
      <c r="AH44" s="102">
        <v>70.458287463357436</v>
      </c>
      <c r="AI44" s="102">
        <v>3.7502071904479735</v>
      </c>
      <c r="AJ44" s="102">
        <v>9.8531806803948598E-3</v>
      </c>
      <c r="AK44" s="102">
        <v>45.249202745086066</v>
      </c>
      <c r="AL44" s="102">
        <v>3.529638933265312</v>
      </c>
      <c r="AM44" s="102">
        <v>9.5766824391091525</v>
      </c>
      <c r="AN44" s="102">
        <v>1.552618593620686</v>
      </c>
      <c r="AO44" s="102">
        <v>7.5934549964964315</v>
      </c>
      <c r="AP44" s="102">
        <v>2.7178294349341612</v>
      </c>
      <c r="AQ44" s="102">
        <v>0.9664674668124984</v>
      </c>
      <c r="AR44" s="102">
        <v>3.5363394574848215</v>
      </c>
      <c r="AS44" s="102">
        <v>0.62292772792592888</v>
      </c>
      <c r="AT44" s="102">
        <v>4.4169404833335504</v>
      </c>
      <c r="AU44" s="102">
        <v>0.86955866297389184</v>
      </c>
      <c r="AV44" s="102">
        <v>2.64631460210519</v>
      </c>
      <c r="AW44" s="102">
        <v>0.39599802050662053</v>
      </c>
      <c r="AX44" s="102">
        <v>2.2467816906518712</v>
      </c>
      <c r="AY44" s="102">
        <v>0.34118504814305117</v>
      </c>
      <c r="AZ44" s="102">
        <v>1.8094135819021449</v>
      </c>
      <c r="BA44" s="102">
        <v>0.23096812277729478</v>
      </c>
      <c r="BB44" s="102">
        <v>0.62838930243809576</v>
      </c>
      <c r="BC44" s="102">
        <v>0.24277749697734574</v>
      </c>
      <c r="BD44" s="102">
        <v>9.6210143455584957E-2</v>
      </c>
    </row>
    <row r="45" spans="1:56">
      <c r="A45" s="100" t="s">
        <v>303</v>
      </c>
      <c r="C45" s="100" t="s">
        <v>308</v>
      </c>
      <c r="E45" s="81" t="s">
        <v>129</v>
      </c>
      <c r="F45" s="81" t="s">
        <v>130</v>
      </c>
      <c r="L45" s="81">
        <v>50.542999999999999</v>
      </c>
      <c r="M45" s="81">
        <v>1.3320000000000001</v>
      </c>
      <c r="N45" s="81">
        <v>14.930999999999999</v>
      </c>
      <c r="O45" s="81">
        <v>11.722</v>
      </c>
      <c r="P45" s="81">
        <v>0.27600000000000002</v>
      </c>
      <c r="Q45" s="81">
        <v>8.0340000000000007</v>
      </c>
      <c r="R45" s="81">
        <v>7.782</v>
      </c>
      <c r="S45" s="81">
        <v>2.8679999999999999</v>
      </c>
      <c r="T45" s="81">
        <v>0.74199999999999999</v>
      </c>
      <c r="U45" s="81">
        <v>0.122</v>
      </c>
      <c r="V45" s="102">
        <v>4.6648012572348687</v>
      </c>
      <c r="W45" s="102">
        <v>10.661920087959864</v>
      </c>
      <c r="X45" s="102">
        <v>70.612424676796635</v>
      </c>
      <c r="Y45" s="102">
        <v>449.93567141232222</v>
      </c>
      <c r="Z45" s="102">
        <v>242.60532692374582</v>
      </c>
      <c r="AA45" s="102">
        <v>67.121152804212798</v>
      </c>
      <c r="AB45" s="102">
        <v>172.90257455760417</v>
      </c>
      <c r="AC45" s="102">
        <v>99.448894409221865</v>
      </c>
      <c r="AD45" s="102">
        <v>19.589803557834127</v>
      </c>
      <c r="AE45" s="102">
        <v>4.6632889262630242</v>
      </c>
      <c r="AF45" s="102">
        <v>116.40226669403162</v>
      </c>
      <c r="AG45" s="102">
        <v>22.745528492012419</v>
      </c>
      <c r="AH45" s="102">
        <v>66.307041723841095</v>
      </c>
      <c r="AI45" s="102">
        <v>3.524258265819693</v>
      </c>
      <c r="AJ45" s="102">
        <v>1.2518324542667185E-2</v>
      </c>
      <c r="AK45" s="102">
        <v>35.917215373224209</v>
      </c>
      <c r="AL45" s="102">
        <v>3.1340523369612394</v>
      </c>
      <c r="AM45" s="102">
        <v>8.6024896237104382</v>
      </c>
      <c r="AN45" s="102">
        <v>1.3140406552733288</v>
      </c>
      <c r="AO45" s="102">
        <v>7.0685927784082248</v>
      </c>
      <c r="AP45" s="102">
        <v>2.3496562262382068</v>
      </c>
      <c r="AQ45" s="102">
        <v>0.89443288958214173</v>
      </c>
      <c r="AR45" s="102">
        <v>3.0252910872891157</v>
      </c>
      <c r="AS45" s="102">
        <v>0.56101294718266814</v>
      </c>
      <c r="AT45" s="102">
        <v>3.7339083340145498</v>
      </c>
      <c r="AU45" s="102">
        <v>0.76856912758932494</v>
      </c>
      <c r="AV45" s="102">
        <v>2.4448253700014493</v>
      </c>
      <c r="AW45" s="102">
        <v>0.3562274082520977</v>
      </c>
      <c r="AX45" s="102">
        <v>2.1715451053197077</v>
      </c>
      <c r="AY45" s="102">
        <v>0.33921328996925876</v>
      </c>
      <c r="AZ45" s="102">
        <v>1.6828470333489935</v>
      </c>
      <c r="BA45" s="102">
        <v>0.21378887178243924</v>
      </c>
      <c r="BB45" s="102">
        <v>0.52530308635455991</v>
      </c>
      <c r="BC45" s="102">
        <v>0.24574900138900888</v>
      </c>
      <c r="BD45" s="102">
        <v>6.2366957115520393E-2</v>
      </c>
    </row>
    <row r="46" spans="1:56">
      <c r="A46" s="100" t="s">
        <v>304</v>
      </c>
      <c r="C46" s="100" t="s">
        <v>309</v>
      </c>
      <c r="E46" s="81" t="s">
        <v>129</v>
      </c>
      <c r="F46" s="81" t="s">
        <v>130</v>
      </c>
      <c r="L46" s="81">
        <v>38.875</v>
      </c>
      <c r="M46" s="81">
        <v>0.95599999999999996</v>
      </c>
      <c r="N46" s="81">
        <v>9.5389999999999997</v>
      </c>
      <c r="O46" s="81">
        <v>11.891</v>
      </c>
      <c r="P46" s="81">
        <v>0.28100000000000003</v>
      </c>
      <c r="Q46" s="81">
        <v>5.8109999999999999</v>
      </c>
      <c r="R46" s="81">
        <v>6.4020000000000001</v>
      </c>
      <c r="S46" s="81">
        <v>1.8480000000000001</v>
      </c>
      <c r="T46" s="81">
        <v>0.48599999999999999</v>
      </c>
      <c r="U46" s="81">
        <v>0.10199999999999999</v>
      </c>
      <c r="V46" s="102">
        <v>5.9979202258040578</v>
      </c>
      <c r="W46" s="102">
        <v>11.286182085290896</v>
      </c>
      <c r="X46" s="102">
        <v>61.430251943841235</v>
      </c>
      <c r="Y46" s="102">
        <v>404.14382632267143</v>
      </c>
      <c r="Z46" s="102">
        <v>180.42577111032602</v>
      </c>
      <c r="AA46" s="102">
        <v>55.603473661386154</v>
      </c>
      <c r="AB46" s="102">
        <v>156.17308817084847</v>
      </c>
      <c r="AC46" s="102">
        <v>96.981056783710684</v>
      </c>
      <c r="AD46" s="102">
        <v>18.558730262040697</v>
      </c>
      <c r="AE46" s="102">
        <v>4.336266043719065</v>
      </c>
      <c r="AF46" s="102">
        <v>107.20589868639409</v>
      </c>
      <c r="AG46" s="102">
        <v>26.371248108645467</v>
      </c>
      <c r="AH46" s="102">
        <v>67.312711784867744</v>
      </c>
      <c r="AI46" s="102">
        <v>3.4550549793052077</v>
      </c>
      <c r="AJ46" s="102">
        <v>1.3220715440910472E-2</v>
      </c>
      <c r="AK46" s="102">
        <v>30.669217951354263</v>
      </c>
      <c r="AL46" s="102">
        <v>3.9820351735847028</v>
      </c>
      <c r="AM46" s="102">
        <v>9.5110737224163646</v>
      </c>
      <c r="AN46" s="102">
        <v>1.4823265193970154</v>
      </c>
      <c r="AO46" s="102">
        <v>7.498258946707022</v>
      </c>
      <c r="AP46" s="102">
        <v>2.4920117353963849</v>
      </c>
      <c r="AQ46" s="102">
        <v>0.86664266543630419</v>
      </c>
      <c r="AR46" s="102">
        <v>3.4865955558632113</v>
      </c>
      <c r="AS46" s="102">
        <v>0.5834157327452868</v>
      </c>
      <c r="AT46" s="102">
        <v>4.3298700733850595</v>
      </c>
      <c r="AU46" s="102">
        <v>0.8729429679451306</v>
      </c>
      <c r="AV46" s="102">
        <v>2.7670369091088149</v>
      </c>
      <c r="AW46" s="102">
        <v>0.40439464458788077</v>
      </c>
      <c r="AX46" s="102">
        <v>2.5032484706571969</v>
      </c>
      <c r="AY46" s="102">
        <v>0.38181388809490935</v>
      </c>
      <c r="AZ46" s="102">
        <v>1.699586987488245</v>
      </c>
      <c r="BA46" s="102">
        <v>0.18583337580434678</v>
      </c>
      <c r="BB46" s="102">
        <v>0.35251899834990674</v>
      </c>
      <c r="BC46" s="102">
        <v>0.2066281620013237</v>
      </c>
      <c r="BD46" s="102">
        <v>9.0922990243082716E-2</v>
      </c>
    </row>
    <row r="47" spans="1:56">
      <c r="A47" s="100" t="s">
        <v>305</v>
      </c>
      <c r="C47" s="100" t="s">
        <v>310</v>
      </c>
      <c r="E47" s="81" t="s">
        <v>129</v>
      </c>
      <c r="F47" s="81" t="s">
        <v>130</v>
      </c>
      <c r="L47" s="81">
        <v>50.338000000000001</v>
      </c>
      <c r="M47" s="81">
        <v>1.1779999999999999</v>
      </c>
      <c r="N47" s="81">
        <v>14.59</v>
      </c>
      <c r="O47" s="81">
        <v>11.36</v>
      </c>
      <c r="P47" s="81">
        <v>0.28299999999999997</v>
      </c>
      <c r="Q47" s="81">
        <v>9.1920000000000002</v>
      </c>
      <c r="R47" s="81">
        <v>9.4779999999999998</v>
      </c>
      <c r="S47" s="81">
        <v>2.4929999999999999</v>
      </c>
      <c r="T47" s="81">
        <v>0.127</v>
      </c>
      <c r="U47" s="81">
        <v>0.11</v>
      </c>
      <c r="V47" s="102">
        <v>5.2787275730915368</v>
      </c>
      <c r="W47" s="102">
        <v>3.5265567483377893</v>
      </c>
      <c r="X47" s="102">
        <v>55.62078511047801</v>
      </c>
      <c r="Y47" s="102">
        <v>346.80553412467714</v>
      </c>
      <c r="Z47" s="102">
        <v>301.81868068635231</v>
      </c>
      <c r="AA47" s="102">
        <v>53.134173118279634</v>
      </c>
      <c r="AB47" s="102">
        <v>147.09632495920985</v>
      </c>
      <c r="AC47" s="102">
        <v>84.854845865409672</v>
      </c>
      <c r="AD47" s="102">
        <v>16.70938821728765</v>
      </c>
      <c r="AE47" s="102">
        <v>0.73085371945275368</v>
      </c>
      <c r="AF47" s="102">
        <v>138.7463934750933</v>
      </c>
      <c r="AG47" s="102">
        <v>19.710784982021661</v>
      </c>
      <c r="AH47" s="102">
        <v>59.425149111227391</v>
      </c>
      <c r="AI47" s="102">
        <v>4.0570883140421046</v>
      </c>
      <c r="AJ47" s="102">
        <v>2.5010805815327167E-3</v>
      </c>
      <c r="AK47" s="102">
        <v>24.813824047952696</v>
      </c>
      <c r="AL47" s="102">
        <v>3.2911955538953142</v>
      </c>
      <c r="AM47" s="102">
        <v>8.5225132741030993</v>
      </c>
      <c r="AN47" s="102">
        <v>1.2951332587519548</v>
      </c>
      <c r="AO47" s="102">
        <v>6.6785362629568574</v>
      </c>
      <c r="AP47" s="102">
        <v>2.2768875705752376</v>
      </c>
      <c r="AQ47" s="102">
        <v>0.81100645158128393</v>
      </c>
      <c r="AR47" s="102">
        <v>2.9226051203640719</v>
      </c>
      <c r="AS47" s="102">
        <v>0.48709517785799533</v>
      </c>
      <c r="AT47" s="102">
        <v>3.4979154312586367</v>
      </c>
      <c r="AU47" s="102">
        <v>0.7254483965239843</v>
      </c>
      <c r="AV47" s="102">
        <v>2.1296605449990853</v>
      </c>
      <c r="AW47" s="102">
        <v>0.33128418296519813</v>
      </c>
      <c r="AX47" s="102">
        <v>2.0879564681919214</v>
      </c>
      <c r="AY47" s="102">
        <v>0.3110393048221437</v>
      </c>
      <c r="AZ47" s="102">
        <v>1.4013984445492045</v>
      </c>
      <c r="BA47" s="102">
        <v>0.24072164718840883</v>
      </c>
      <c r="BB47" s="102">
        <v>0.56714996665485951</v>
      </c>
      <c r="BC47" s="102">
        <v>0.2536681741649614</v>
      </c>
      <c r="BD47" s="102">
        <v>6.8401906273388616E-2</v>
      </c>
    </row>
    <row r="48" spans="1:56">
      <c r="A48" s="100" t="s">
        <v>311</v>
      </c>
      <c r="C48" s="100" t="s">
        <v>318</v>
      </c>
      <c r="E48" s="81" t="s">
        <v>129</v>
      </c>
      <c r="F48" s="81" t="s">
        <v>130</v>
      </c>
      <c r="L48" s="81">
        <v>51.808</v>
      </c>
      <c r="M48" s="81">
        <v>0.81200000000000006</v>
      </c>
      <c r="N48" s="81">
        <v>15.016</v>
      </c>
      <c r="O48" s="81">
        <v>10.518000000000001</v>
      </c>
      <c r="P48" s="81">
        <v>0.20499999999999999</v>
      </c>
      <c r="Q48" s="81">
        <v>8.8279999999999994</v>
      </c>
      <c r="R48" s="81">
        <v>12.169</v>
      </c>
      <c r="S48" s="81">
        <v>2.02</v>
      </c>
      <c r="T48" s="81">
        <v>9.8000000000000004E-2</v>
      </c>
      <c r="U48" s="81">
        <v>7.2999999999999995E-2</v>
      </c>
      <c r="V48" s="102">
        <v>2.2806673209028303</v>
      </c>
      <c r="W48" s="102">
        <v>8.713619277946977</v>
      </c>
      <c r="X48" s="102">
        <v>58.037712463482258</v>
      </c>
      <c r="Y48" s="102">
        <v>315.6988247675896</v>
      </c>
      <c r="Z48" s="102">
        <v>178.06115558877525</v>
      </c>
      <c r="AA48" s="102">
        <v>54.165803920862267</v>
      </c>
      <c r="AB48" s="102">
        <v>142.86059303742397</v>
      </c>
      <c r="AC48" s="102">
        <v>76.382946844024261</v>
      </c>
      <c r="AD48" s="102">
        <v>14.749327993120897</v>
      </c>
      <c r="AE48" s="102">
        <v>0.76009596044845573</v>
      </c>
      <c r="AF48" s="102">
        <v>71.396443432701702</v>
      </c>
      <c r="AG48" s="102">
        <v>23.396339280425014</v>
      </c>
      <c r="AH48" s="102">
        <v>41.57694907436786</v>
      </c>
      <c r="AI48" s="102">
        <v>1.9301616311792258</v>
      </c>
      <c r="AJ48" s="102">
        <v>9.8599688226082526E-3</v>
      </c>
      <c r="AK48" s="102">
        <v>23.131451878594632</v>
      </c>
      <c r="AL48" s="102">
        <v>2.0722064192400418</v>
      </c>
      <c r="AM48" s="102">
        <v>5.2767930587952359</v>
      </c>
      <c r="AN48" s="102">
        <v>0.84467116200457637</v>
      </c>
      <c r="AO48" s="102">
        <v>4.6067893309498249</v>
      </c>
      <c r="AP48" s="102">
        <v>1.6577782052174181</v>
      </c>
      <c r="AQ48" s="102">
        <v>0.6931792308737621</v>
      </c>
      <c r="AR48" s="102">
        <v>2.7692915483451168</v>
      </c>
      <c r="AS48" s="102">
        <v>0.51292265416422134</v>
      </c>
      <c r="AT48" s="102">
        <v>3.6485217573079711</v>
      </c>
      <c r="AU48" s="102">
        <v>0.76347953156573301</v>
      </c>
      <c r="AV48" s="102">
        <v>2.3101698152553842</v>
      </c>
      <c r="AW48" s="102">
        <v>0.38220550756408606</v>
      </c>
      <c r="AX48" s="102">
        <v>2.3145575800164271</v>
      </c>
      <c r="AY48" s="102">
        <v>0.38297380541732373</v>
      </c>
      <c r="AZ48" s="102">
        <v>1.127298014917915</v>
      </c>
      <c r="BA48" s="102">
        <v>0.10618095442174595</v>
      </c>
      <c r="BB48" s="102">
        <v>0.30100934023171405</v>
      </c>
      <c r="BC48" s="102">
        <v>0.24018941492187801</v>
      </c>
      <c r="BD48" s="102">
        <v>0.11030699134882564</v>
      </c>
    </row>
    <row r="49" spans="1:104">
      <c r="A49" s="100" t="s">
        <v>312</v>
      </c>
      <c r="C49" s="100" t="s">
        <v>319</v>
      </c>
      <c r="E49" s="81" t="s">
        <v>129</v>
      </c>
      <c r="F49" s="81" t="s">
        <v>130</v>
      </c>
      <c r="L49" s="81">
        <v>51.576999999999998</v>
      </c>
      <c r="M49" s="81">
        <v>0.875</v>
      </c>
      <c r="N49" s="81">
        <v>14.832000000000001</v>
      </c>
      <c r="O49" s="81">
        <v>11.006</v>
      </c>
      <c r="P49" s="81">
        <v>0.188</v>
      </c>
      <c r="Q49" s="81">
        <v>9.8940000000000001</v>
      </c>
      <c r="R49" s="81">
        <v>10.882999999999999</v>
      </c>
      <c r="S49" s="81">
        <v>2.29</v>
      </c>
      <c r="T49" s="81">
        <v>0.129</v>
      </c>
      <c r="U49" s="81">
        <v>6.9000000000000006E-2</v>
      </c>
      <c r="V49" s="102">
        <v>2.9008218414821436</v>
      </c>
      <c r="W49" s="102">
        <v>12.73210359318047</v>
      </c>
      <c r="X49" s="102">
        <v>55.517367610304497</v>
      </c>
      <c r="Y49" s="102">
        <v>321.87415097657873</v>
      </c>
      <c r="Z49" s="102">
        <v>81.285799207804033</v>
      </c>
      <c r="AA49" s="102">
        <v>53.017898749489895</v>
      </c>
      <c r="AB49" s="102">
        <v>151.09148489270748</v>
      </c>
      <c r="AC49" s="102">
        <v>72.440531763035381</v>
      </c>
      <c r="AD49" s="102">
        <v>13.935663331262656</v>
      </c>
      <c r="AE49" s="102">
        <v>0.9713725373446267</v>
      </c>
      <c r="AF49" s="102">
        <v>70.757998244103447</v>
      </c>
      <c r="AG49" s="102">
        <v>22.076446116371002</v>
      </c>
      <c r="AH49" s="102">
        <v>42.314577715671327</v>
      </c>
      <c r="AI49" s="102">
        <v>2.0108690153990811</v>
      </c>
      <c r="AJ49" s="102">
        <v>1.1698140483081881E-2</v>
      </c>
      <c r="AK49" s="102">
        <v>25.609934165297091</v>
      </c>
      <c r="AL49" s="102">
        <v>2.0249525379102731</v>
      </c>
      <c r="AM49" s="102">
        <v>5.4079325001075764</v>
      </c>
      <c r="AN49" s="102">
        <v>0.85643901093347952</v>
      </c>
      <c r="AO49" s="102">
        <v>4.7635018114124943</v>
      </c>
      <c r="AP49" s="102">
        <v>1.6325654252888713</v>
      </c>
      <c r="AQ49" s="102">
        <v>0.67466912819186298</v>
      </c>
      <c r="AR49" s="102">
        <v>2.6727931664988502</v>
      </c>
      <c r="AS49" s="102">
        <v>0.48138141069504792</v>
      </c>
      <c r="AT49" s="102">
        <v>3.6922086096610602</v>
      </c>
      <c r="AU49" s="102">
        <v>0.74027790066923993</v>
      </c>
      <c r="AV49" s="102">
        <v>2.4473670742373299</v>
      </c>
      <c r="AW49" s="102">
        <v>0.3714968210387451</v>
      </c>
      <c r="AX49" s="102">
        <v>2.3956530640598213</v>
      </c>
      <c r="AY49" s="102">
        <v>0.35482327762916976</v>
      </c>
      <c r="AZ49" s="102">
        <v>1.0935881437254398</v>
      </c>
      <c r="BA49" s="102">
        <v>0.11513666661205903</v>
      </c>
      <c r="BB49" s="102">
        <v>0.27899503936316922</v>
      </c>
      <c r="BC49" s="102">
        <v>0.21938262950944631</v>
      </c>
      <c r="BD49" s="102">
        <v>7.2971803062254745E-2</v>
      </c>
    </row>
    <row r="50" spans="1:104">
      <c r="A50" s="100" t="s">
        <v>313</v>
      </c>
      <c r="C50" s="100" t="s">
        <v>320</v>
      </c>
      <c r="E50" s="81" t="s">
        <v>129</v>
      </c>
      <c r="F50" s="81" t="s">
        <v>130</v>
      </c>
      <c r="L50" s="81">
        <v>51.078000000000003</v>
      </c>
      <c r="M50" s="81">
        <v>0.99399999999999999</v>
      </c>
      <c r="N50" s="81">
        <v>16.027000000000001</v>
      </c>
      <c r="O50" s="81">
        <v>10.692</v>
      </c>
      <c r="P50" s="81">
        <v>0.16700000000000001</v>
      </c>
      <c r="Q50" s="81">
        <v>9.4580000000000002</v>
      </c>
      <c r="R50" s="81">
        <v>10.397</v>
      </c>
      <c r="S50" s="81">
        <v>2.4830000000000001</v>
      </c>
      <c r="T50" s="81">
        <v>0.123</v>
      </c>
      <c r="U50" s="81">
        <v>9.6000000000000002E-2</v>
      </c>
      <c r="V50" s="102">
        <v>3.433105507109703</v>
      </c>
      <c r="W50" s="102">
        <v>11.381154859371858</v>
      </c>
      <c r="X50" s="102">
        <v>51.743864389915323</v>
      </c>
      <c r="Y50" s="102">
        <v>318.89312273284611</v>
      </c>
      <c r="Z50" s="102">
        <v>193.8257151546425</v>
      </c>
      <c r="AA50" s="102">
        <v>48.708987128523503</v>
      </c>
      <c r="AB50" s="102">
        <v>111.94127968054232</v>
      </c>
      <c r="AC50" s="102">
        <v>79.742884104951557</v>
      </c>
      <c r="AD50" s="102">
        <v>15.412049910319016</v>
      </c>
      <c r="AE50" s="102">
        <v>0.54753513975614776</v>
      </c>
      <c r="AF50" s="102">
        <v>84.940415877343483</v>
      </c>
      <c r="AG50" s="102">
        <v>28.776777406474547</v>
      </c>
      <c r="AH50" s="102">
        <v>55.529403179752116</v>
      </c>
      <c r="AI50" s="102">
        <v>3.4043220998237813</v>
      </c>
      <c r="AJ50" s="102">
        <v>5.0867703023460119E-3</v>
      </c>
      <c r="AK50" s="102">
        <v>20.137532297183419</v>
      </c>
      <c r="AL50" s="102">
        <v>3.7299565075591166</v>
      </c>
      <c r="AM50" s="102">
        <v>9.2511268208098478</v>
      </c>
      <c r="AN50" s="102">
        <v>1.4032490861012021</v>
      </c>
      <c r="AO50" s="102">
        <v>6.8376260354617244</v>
      </c>
      <c r="AP50" s="102">
        <v>2.350491008609251</v>
      </c>
      <c r="AQ50" s="102">
        <v>0.86460325383616088</v>
      </c>
      <c r="AR50" s="102">
        <v>3.6943518050965625</v>
      </c>
      <c r="AS50" s="102">
        <v>0.61203460445536917</v>
      </c>
      <c r="AT50" s="102">
        <v>4.4169089511774731</v>
      </c>
      <c r="AU50" s="102">
        <v>0.91227340737493234</v>
      </c>
      <c r="AV50" s="102">
        <v>2.8775689264663078</v>
      </c>
      <c r="AW50" s="102">
        <v>0.44157565831064294</v>
      </c>
      <c r="AX50" s="102">
        <v>2.8216903357176593</v>
      </c>
      <c r="AY50" s="102">
        <v>0.43628392724459353</v>
      </c>
      <c r="AZ50" s="102">
        <v>1.4379512446035507</v>
      </c>
      <c r="BA50" s="102">
        <v>0.20727383517209202</v>
      </c>
      <c r="BB50" s="102">
        <v>0.51488552960073442</v>
      </c>
      <c r="BC50" s="102">
        <v>0.40478559628634564</v>
      </c>
      <c r="BD50" s="102">
        <v>0.18049656593303717</v>
      </c>
    </row>
    <row r="51" spans="1:104">
      <c r="A51" s="100" t="s">
        <v>314</v>
      </c>
      <c r="C51" s="100" t="s">
        <v>321</v>
      </c>
      <c r="E51" s="81" t="s">
        <v>129</v>
      </c>
      <c r="F51" s="81" t="s">
        <v>130</v>
      </c>
      <c r="L51" s="81">
        <v>50.338999999999999</v>
      </c>
      <c r="M51" s="81">
        <v>1.347</v>
      </c>
      <c r="N51" s="81">
        <v>14.48</v>
      </c>
      <c r="O51" s="81">
        <v>12.010999999999999</v>
      </c>
      <c r="P51" s="81">
        <v>0.216</v>
      </c>
      <c r="Q51" s="81">
        <v>8.9559999999999995</v>
      </c>
      <c r="R51" s="81">
        <v>8.3249999999999993</v>
      </c>
      <c r="S51" s="81">
        <v>3.1419999999999999</v>
      </c>
      <c r="T51" s="81">
        <v>0.24199999999999999</v>
      </c>
      <c r="U51" s="81">
        <v>0.105</v>
      </c>
      <c r="V51" s="102">
        <v>5.5342227148569361</v>
      </c>
      <c r="W51" s="102">
        <v>12.302094800972633</v>
      </c>
      <c r="X51" s="102">
        <v>59.95239076948355</v>
      </c>
      <c r="Y51" s="102">
        <v>390.99188749635647</v>
      </c>
      <c r="Z51" s="102">
        <v>84.717720487818497</v>
      </c>
      <c r="AA51" s="102">
        <v>63.807271346866457</v>
      </c>
      <c r="AB51" s="102">
        <v>113.00084127038983</v>
      </c>
      <c r="AC51" s="102">
        <v>104.25394144574433</v>
      </c>
      <c r="AD51" s="102">
        <v>17.686473554517818</v>
      </c>
      <c r="AE51" s="102">
        <v>1.4474490973337129</v>
      </c>
      <c r="AF51" s="102">
        <v>97.691194063561326</v>
      </c>
      <c r="AG51" s="102">
        <v>30.131445321148565</v>
      </c>
      <c r="AH51" s="102">
        <v>71.36051118868572</v>
      </c>
      <c r="AI51" s="102">
        <v>4.3848087177003325</v>
      </c>
      <c r="AJ51" s="102">
        <v>1.4914582869074443E-2</v>
      </c>
      <c r="AK51" s="102">
        <v>29.064016904693506</v>
      </c>
      <c r="AL51" s="102">
        <v>5.1396425765181446</v>
      </c>
      <c r="AM51" s="102">
        <v>12.423603433123946</v>
      </c>
      <c r="AN51" s="102">
        <v>1.7714777593073421</v>
      </c>
      <c r="AO51" s="102">
        <v>8.7966346389794836</v>
      </c>
      <c r="AP51" s="102">
        <v>2.9313067673000708</v>
      </c>
      <c r="AQ51" s="102">
        <v>1.0249485455241911</v>
      </c>
      <c r="AR51" s="102">
        <v>4.1807136078566964</v>
      </c>
      <c r="AS51" s="102">
        <v>0.70248764094090499</v>
      </c>
      <c r="AT51" s="102">
        <v>5.0113935036350199</v>
      </c>
      <c r="AU51" s="102">
        <v>0.98827417598044176</v>
      </c>
      <c r="AV51" s="102">
        <v>2.9086018823820279</v>
      </c>
      <c r="AW51" s="102">
        <v>0.46171955611249987</v>
      </c>
      <c r="AX51" s="102">
        <v>2.7434603102333557</v>
      </c>
      <c r="AY51" s="102">
        <v>0.41547412825802837</v>
      </c>
      <c r="AZ51" s="102">
        <v>1.8056741068875495</v>
      </c>
      <c r="BA51" s="102">
        <v>0.26212748816479498</v>
      </c>
      <c r="BB51" s="102">
        <v>0.82877872646750483</v>
      </c>
      <c r="BC51" s="102">
        <v>0.52850248413877998</v>
      </c>
      <c r="BD51" s="102">
        <v>0.12408725016001466</v>
      </c>
    </row>
    <row r="52" spans="1:104">
      <c r="A52" s="100" t="s">
        <v>315</v>
      </c>
      <c r="C52" s="100" t="s">
        <v>322</v>
      </c>
      <c r="E52" s="81" t="s">
        <v>129</v>
      </c>
      <c r="F52" s="81" t="s">
        <v>130</v>
      </c>
      <c r="L52" s="81">
        <v>52.142000000000003</v>
      </c>
      <c r="M52" s="81">
        <v>1.1359999999999999</v>
      </c>
      <c r="N52" s="81">
        <v>13.458</v>
      </c>
      <c r="O52" s="81">
        <v>12.157999999999999</v>
      </c>
      <c r="P52" s="81">
        <v>0.16200000000000001</v>
      </c>
      <c r="Q52" s="81">
        <v>9.8490000000000002</v>
      </c>
      <c r="R52" s="81">
        <v>8.4719999999999995</v>
      </c>
      <c r="S52" s="81">
        <v>2.6179999999999999</v>
      </c>
      <c r="T52" s="81">
        <v>0.28199999999999997</v>
      </c>
      <c r="U52" s="81">
        <v>0.08</v>
      </c>
      <c r="V52" s="102">
        <v>4.157600248679004</v>
      </c>
      <c r="W52" s="102">
        <v>20.459861377844625</v>
      </c>
      <c r="X52" s="102">
        <v>53.36628471105292</v>
      </c>
      <c r="Y52" s="102">
        <v>337.23116425435217</v>
      </c>
      <c r="Z52" s="102">
        <v>77.449951211172475</v>
      </c>
      <c r="AA52" s="102">
        <v>48.638170734510616</v>
      </c>
      <c r="AB52" s="102">
        <v>94.081728975161795</v>
      </c>
      <c r="AC52" s="102">
        <v>81.173081863282277</v>
      </c>
      <c r="AD52" s="102">
        <v>16.034992126509547</v>
      </c>
      <c r="AE52" s="102">
        <v>4.7520925327230517</v>
      </c>
      <c r="AF52" s="102">
        <v>85.806684976727567</v>
      </c>
      <c r="AG52" s="102">
        <v>29.772894211750032</v>
      </c>
      <c r="AH52" s="102">
        <v>68.979948894836753</v>
      </c>
      <c r="AI52" s="102">
        <v>4.539421418527688</v>
      </c>
      <c r="AJ52" s="102">
        <v>2.1763638290784783E-2</v>
      </c>
      <c r="AK52" s="102">
        <v>54.685090112231514</v>
      </c>
      <c r="AL52" s="102">
        <v>4.5714946497781535</v>
      </c>
      <c r="AM52" s="102">
        <v>11.158395929990519</v>
      </c>
      <c r="AN52" s="102">
        <v>1.5740807340095526</v>
      </c>
      <c r="AO52" s="102">
        <v>7.760458521323895</v>
      </c>
      <c r="AP52" s="102">
        <v>2.5034457531386667</v>
      </c>
      <c r="AQ52" s="102">
        <v>0.81346323425421097</v>
      </c>
      <c r="AR52" s="102">
        <v>3.6847504140054474</v>
      </c>
      <c r="AS52" s="102">
        <v>0.6385435268609142</v>
      </c>
      <c r="AT52" s="102">
        <v>4.8468250354436568</v>
      </c>
      <c r="AU52" s="102">
        <v>0.9443870173419564</v>
      </c>
      <c r="AV52" s="102">
        <v>3.0239283976396774</v>
      </c>
      <c r="AW52" s="102">
        <v>0.47266149580304873</v>
      </c>
      <c r="AX52" s="102">
        <v>2.7789203761149062</v>
      </c>
      <c r="AY52" s="102">
        <v>0.45150643461838513</v>
      </c>
      <c r="AZ52" s="102">
        <v>1.7937006708716496</v>
      </c>
      <c r="BA52" s="102">
        <v>0.25753005152868985</v>
      </c>
      <c r="BB52" s="102">
        <v>0.65723747261271703</v>
      </c>
      <c r="BC52" s="102">
        <v>0.73055190093913458</v>
      </c>
      <c r="BD52" s="102">
        <v>0.16320077029085012</v>
      </c>
    </row>
    <row r="53" spans="1:104">
      <c r="A53" s="100" t="s">
        <v>316</v>
      </c>
      <c r="C53" s="100" t="s">
        <v>323</v>
      </c>
      <c r="E53" s="81" t="s">
        <v>129</v>
      </c>
      <c r="F53" s="81" t="s">
        <v>130</v>
      </c>
      <c r="L53" s="81">
        <v>51.767000000000003</v>
      </c>
      <c r="M53" s="81">
        <v>1.1319999999999999</v>
      </c>
      <c r="N53" s="81">
        <v>13.412000000000001</v>
      </c>
      <c r="O53" s="81">
        <v>12.38</v>
      </c>
      <c r="P53" s="81">
        <v>0.29099999999999998</v>
      </c>
      <c r="Q53" s="81">
        <v>8.4619999999999997</v>
      </c>
      <c r="R53" s="81">
        <v>9.6300000000000008</v>
      </c>
      <c r="S53" s="81">
        <v>2.6179999999999999</v>
      </c>
      <c r="T53" s="81">
        <v>0.08</v>
      </c>
      <c r="U53" s="81">
        <v>9.5000000000000001E-2</v>
      </c>
      <c r="V53" s="102">
        <v>2.5112825738826281</v>
      </c>
      <c r="W53" s="102">
        <v>10.914221352279394</v>
      </c>
      <c r="X53" s="102">
        <v>69.614225868933005</v>
      </c>
      <c r="Y53" s="102">
        <v>416.57389861521244</v>
      </c>
      <c r="Z53" s="102">
        <v>47.698503802197507</v>
      </c>
      <c r="AA53" s="102">
        <v>63.844193252743324</v>
      </c>
      <c r="AB53" s="102">
        <v>169.10097891146913</v>
      </c>
      <c r="AC53" s="102">
        <v>96.686380288597803</v>
      </c>
      <c r="AD53" s="102">
        <v>18.844740386830086</v>
      </c>
      <c r="AE53" s="102">
        <v>0.52239721977693698</v>
      </c>
      <c r="AF53" s="102">
        <v>92.550192858857756</v>
      </c>
      <c r="AG53" s="102">
        <v>33.553127066297243</v>
      </c>
      <c r="AH53" s="102">
        <v>64.316489163634273</v>
      </c>
      <c r="AI53" s="102">
        <v>2.5895884474845006</v>
      </c>
      <c r="AJ53" s="102">
        <v>8.5867018879929157E-3</v>
      </c>
      <c r="AK53" s="102">
        <v>16.40807180119727</v>
      </c>
      <c r="AL53" s="102">
        <v>3.1877551431315059</v>
      </c>
      <c r="AM53" s="102">
        <v>8.3639424483141553</v>
      </c>
      <c r="AN53" s="102">
        <v>1.3169126807433689</v>
      </c>
      <c r="AO53" s="102">
        <v>7.1281659608524475</v>
      </c>
      <c r="AP53" s="102">
        <v>2.6095054401058397</v>
      </c>
      <c r="AQ53" s="102">
        <v>0.93108950892825393</v>
      </c>
      <c r="AR53" s="102">
        <v>3.8904571736369915</v>
      </c>
      <c r="AS53" s="102">
        <v>0.70916594257241472</v>
      </c>
      <c r="AT53" s="102">
        <v>5.2141270952544154</v>
      </c>
      <c r="AU53" s="102">
        <v>1.1250790700816344</v>
      </c>
      <c r="AV53" s="102">
        <v>3.2861861709188132</v>
      </c>
      <c r="AW53" s="102">
        <v>0.51346929502047056</v>
      </c>
      <c r="AX53" s="102">
        <v>3.190960965216842</v>
      </c>
      <c r="AY53" s="102">
        <v>0.50589219034379096</v>
      </c>
      <c r="AZ53" s="102">
        <v>1.6731742913292382</v>
      </c>
      <c r="BA53" s="102">
        <v>0.14433008990381618</v>
      </c>
      <c r="BB53" s="102">
        <v>0.88600363767710744</v>
      </c>
      <c r="BC53" s="102">
        <v>0.48198912488647494</v>
      </c>
      <c r="BD53" s="102">
        <v>0.17894674625590895</v>
      </c>
    </row>
    <row r="54" spans="1:104">
      <c r="A54" s="100" t="s">
        <v>317</v>
      </c>
      <c r="C54" s="100" t="s">
        <v>324</v>
      </c>
      <c r="E54" s="81" t="s">
        <v>129</v>
      </c>
      <c r="F54" s="81" t="s">
        <v>130</v>
      </c>
      <c r="L54" s="81">
        <v>51.747999999999998</v>
      </c>
      <c r="M54" s="81">
        <v>1.238</v>
      </c>
      <c r="N54" s="81">
        <v>13.066000000000001</v>
      </c>
      <c r="O54" s="81">
        <v>12.723000000000001</v>
      </c>
      <c r="P54" s="81">
        <v>0.252</v>
      </c>
      <c r="Q54" s="81">
        <v>8.9039999999999999</v>
      </c>
      <c r="R54" s="81">
        <v>8.5310000000000006</v>
      </c>
      <c r="S54" s="81">
        <v>2.8330000000000002</v>
      </c>
      <c r="T54" s="81">
        <v>0.114</v>
      </c>
      <c r="U54" s="81">
        <v>9.5000000000000001E-2</v>
      </c>
      <c r="V54" s="102">
        <v>3.723752715236254</v>
      </c>
      <c r="W54" s="102">
        <v>15.574057485450094</v>
      </c>
      <c r="X54" s="102">
        <v>67.320207968710335</v>
      </c>
      <c r="Y54" s="102">
        <v>412.93223331664979</v>
      </c>
      <c r="Z54" s="102">
        <v>26.522048396440411</v>
      </c>
      <c r="AA54" s="102">
        <v>62.400524060152875</v>
      </c>
      <c r="AB54" s="102">
        <v>161.3201529602452</v>
      </c>
      <c r="AC54" s="102">
        <v>101.18455118708236</v>
      </c>
      <c r="AD54" s="102">
        <v>18.776185564258089</v>
      </c>
      <c r="AE54" s="102">
        <v>0.82444770504545395</v>
      </c>
      <c r="AF54" s="102">
        <v>95.774021879782012</v>
      </c>
      <c r="AG54" s="102">
        <v>30.421774894973193</v>
      </c>
      <c r="AH54" s="102">
        <v>66.122334855177812</v>
      </c>
      <c r="AI54" s="102">
        <v>2.4974607299734473</v>
      </c>
      <c r="AJ54" s="102">
        <v>1.6855390115119641E-2</v>
      </c>
      <c r="AK54" s="102">
        <v>28.864534036916712</v>
      </c>
      <c r="AL54" s="102">
        <v>2.99322375194952</v>
      </c>
      <c r="AM54" s="102">
        <v>7.8522350008723887</v>
      </c>
      <c r="AN54" s="102">
        <v>1.2598765840209196</v>
      </c>
      <c r="AO54" s="102">
        <v>6.7060753291915489</v>
      </c>
      <c r="AP54" s="102">
        <v>2.3301510059201491</v>
      </c>
      <c r="AQ54" s="102">
        <v>0.91473268696036281</v>
      </c>
      <c r="AR54" s="102">
        <v>3.7847968442054514</v>
      </c>
      <c r="AS54" s="102">
        <v>0.68488924332540835</v>
      </c>
      <c r="AT54" s="102">
        <v>4.9316436148370961</v>
      </c>
      <c r="AU54" s="102">
        <v>1.0355151097131738</v>
      </c>
      <c r="AV54" s="102">
        <v>3.1357953716139049</v>
      </c>
      <c r="AW54" s="102">
        <v>0.50847438964064684</v>
      </c>
      <c r="AX54" s="102">
        <v>3.2017249287943779</v>
      </c>
      <c r="AY54" s="102">
        <v>0.47424844419939566</v>
      </c>
      <c r="AZ54" s="102">
        <v>1.791788989613972</v>
      </c>
      <c r="BA54" s="102">
        <v>0.14605669513430014</v>
      </c>
      <c r="BB54" s="102">
        <v>0.6637008719551567</v>
      </c>
      <c r="BC54" s="102">
        <v>0.43275241688651395</v>
      </c>
      <c r="BD54" s="102">
        <v>0.10193303668974456</v>
      </c>
    </row>
    <row r="55" spans="1:104">
      <c r="A55" s="81" t="s">
        <v>329</v>
      </c>
      <c r="C55" s="81" t="s">
        <v>341</v>
      </c>
      <c r="E55" s="81" t="s">
        <v>129</v>
      </c>
      <c r="F55" s="81" t="s">
        <v>130</v>
      </c>
      <c r="BE55" s="81">
        <v>30.32</v>
      </c>
      <c r="BF55" s="81">
        <v>0.71299999999999997</v>
      </c>
      <c r="BG55" s="81">
        <v>9.06</v>
      </c>
      <c r="BH55" s="81">
        <v>9.73</v>
      </c>
      <c r="BI55" s="81">
        <v>0.46100000000000002</v>
      </c>
      <c r="BJ55" s="81">
        <v>5.87</v>
      </c>
      <c r="BK55" s="81">
        <v>23.66</v>
      </c>
      <c r="BL55" s="81">
        <v>1.49</v>
      </c>
      <c r="BM55" s="81">
        <v>0.35</v>
      </c>
      <c r="BN55" s="81">
        <v>0.11899999999999999</v>
      </c>
      <c r="BO55" s="81">
        <v>18.079999999999998</v>
      </c>
      <c r="BP55" s="102">
        <v>42.392724192913363</v>
      </c>
      <c r="BQ55" s="102">
        <v>0.25618628377110092</v>
      </c>
      <c r="BR55" s="102">
        <v>23.293354080655075</v>
      </c>
      <c r="BS55" s="102">
        <v>167.15072991972602</v>
      </c>
      <c r="BT55" s="102">
        <v>1209.8602248225818</v>
      </c>
      <c r="BU55" s="102">
        <v>71.578363273726595</v>
      </c>
      <c r="BV55" s="102">
        <v>578.68961231451397</v>
      </c>
      <c r="BW55" s="102">
        <v>39.129271997237005</v>
      </c>
      <c r="BX55" s="102">
        <v>77.562960088721155</v>
      </c>
      <c r="BY55" s="102">
        <v>11.742690681506737</v>
      </c>
      <c r="BZ55" s="102"/>
      <c r="CA55" s="102">
        <v>9.566563563368959</v>
      </c>
      <c r="CB55" s="102">
        <v>173.05321620484176</v>
      </c>
      <c r="CC55" s="102">
        <v>14.701058573524431</v>
      </c>
      <c r="CD55" s="102">
        <v>51.023032857434735</v>
      </c>
      <c r="CE55" s="102">
        <v>2.86834250844062</v>
      </c>
      <c r="CF55" s="102">
        <v>0.22327621391916758</v>
      </c>
      <c r="CG55" s="102">
        <v>89.263901582767062</v>
      </c>
      <c r="CH55" s="102">
        <v>3.003136087037614</v>
      </c>
      <c r="CI55" s="102">
        <v>7.1153288586469925</v>
      </c>
      <c r="CJ55" s="102">
        <v>1.0831982312433015</v>
      </c>
      <c r="CK55" s="102">
        <v>5.5624685991457472</v>
      </c>
      <c r="CL55" s="102">
        <v>2.0852927891913482</v>
      </c>
      <c r="CM55" s="102">
        <v>0.82406423276639085</v>
      </c>
      <c r="CN55" s="102">
        <v>2.7233876112673872</v>
      </c>
      <c r="CO55" s="102">
        <v>0.46940997059907691</v>
      </c>
      <c r="CP55" s="102">
        <v>2.8268690589121968</v>
      </c>
      <c r="CQ55" s="102">
        <v>0.56739992355365199</v>
      </c>
      <c r="CR55" s="102">
        <v>1.5234974711490139</v>
      </c>
      <c r="CS55" s="102">
        <v>0.22674003838099746</v>
      </c>
      <c r="CT55" s="102">
        <v>1.3712127354859223</v>
      </c>
      <c r="CU55" s="102">
        <v>0.21116285022097958</v>
      </c>
      <c r="CV55" s="102">
        <v>1.4453171773558571</v>
      </c>
      <c r="CW55" s="102">
        <v>0.18350649660406212</v>
      </c>
      <c r="CX55" s="102">
        <v>0.44160231720211285</v>
      </c>
      <c r="CY55" s="102">
        <v>0.36453071325261166</v>
      </c>
      <c r="CZ55" s="102">
        <v>0.3093825506824614</v>
      </c>
    </row>
    <row r="56" spans="1:104">
      <c r="A56" s="81" t="s">
        <v>330</v>
      </c>
      <c r="C56" s="81" t="s">
        <v>342</v>
      </c>
      <c r="E56" s="81" t="s">
        <v>129</v>
      </c>
      <c r="F56" s="81" t="s">
        <v>130</v>
      </c>
      <c r="BE56" s="81">
        <v>44.96</v>
      </c>
      <c r="BF56" s="81">
        <v>0.99199999999999999</v>
      </c>
      <c r="BG56" s="81">
        <v>15.4</v>
      </c>
      <c r="BH56" s="81">
        <v>11.9</v>
      </c>
      <c r="BI56" s="81">
        <v>0.17100000000000001</v>
      </c>
      <c r="BJ56" s="81">
        <v>9.66</v>
      </c>
      <c r="BK56" s="81">
        <v>9.4700000000000006</v>
      </c>
      <c r="BL56" s="81">
        <v>1.49</v>
      </c>
      <c r="BM56" s="81">
        <v>0.34</v>
      </c>
      <c r="BN56" s="81">
        <v>5.0999999999999997E-2</v>
      </c>
      <c r="BO56" s="81">
        <v>6.74</v>
      </c>
      <c r="BP56" s="102">
        <v>33.784739436075704</v>
      </c>
      <c r="BQ56" s="102">
        <v>0.17906269306940914</v>
      </c>
      <c r="BR56" s="102">
        <v>44.850212910694694</v>
      </c>
      <c r="BS56" s="102">
        <v>308.30871757259052</v>
      </c>
      <c r="BT56" s="102">
        <v>333.28172144045504</v>
      </c>
      <c r="BU56" s="102">
        <v>63.764586142144296</v>
      </c>
      <c r="BV56" s="102">
        <v>150.82252016610664</v>
      </c>
      <c r="BW56" s="102">
        <v>89.497726190820487</v>
      </c>
      <c r="BX56" s="102">
        <v>73.974726464821117</v>
      </c>
      <c r="BY56" s="102">
        <v>15.790185849202262</v>
      </c>
      <c r="BZ56" s="102"/>
      <c r="CA56" s="102">
        <v>5.6798627741907532</v>
      </c>
      <c r="CB56" s="102">
        <v>63.156512299997189</v>
      </c>
      <c r="CC56" s="102">
        <v>21.753822236600964</v>
      </c>
      <c r="CD56" s="102">
        <v>52.119826138814815</v>
      </c>
      <c r="CE56" s="102">
        <v>0.68238731880219883</v>
      </c>
      <c r="CF56" s="102">
        <v>0.16583615087634715</v>
      </c>
      <c r="CG56" s="102">
        <v>11.448385405316593</v>
      </c>
      <c r="CH56" s="102">
        <v>1.0399588196615444</v>
      </c>
      <c r="CI56" s="102">
        <v>3.5234235007305053</v>
      </c>
      <c r="CJ56" s="102">
        <v>0.67528496455746412</v>
      </c>
      <c r="CK56" s="102">
        <v>4.1609217682381843</v>
      </c>
      <c r="CL56" s="102">
        <v>1.9550692632916542</v>
      </c>
      <c r="CM56" s="102">
        <v>0.84511123090454354</v>
      </c>
      <c r="CN56" s="102">
        <v>2.9739886643890219</v>
      </c>
      <c r="CO56" s="102">
        <v>0.5730253531000451</v>
      </c>
      <c r="CP56" s="102">
        <v>3.8465952912510648</v>
      </c>
      <c r="CQ56" s="102">
        <v>0.86033980821603429</v>
      </c>
      <c r="CR56" s="102">
        <v>2.4713548008197761</v>
      </c>
      <c r="CS56" s="102">
        <v>0.37645082868445956</v>
      </c>
      <c r="CT56" s="102">
        <v>2.3802878605785636</v>
      </c>
      <c r="CU56" s="102">
        <v>0.37489107021116769</v>
      </c>
      <c r="CV56" s="102">
        <v>1.5646565003465192</v>
      </c>
      <c r="CW56" s="102">
        <v>5.852538472606781E-2</v>
      </c>
      <c r="CX56" s="102">
        <v>0.32797845450759489</v>
      </c>
      <c r="CY56" s="102">
        <v>0.13867111219551884</v>
      </c>
      <c r="CZ56" s="102">
        <v>0.10205768850003487</v>
      </c>
    </row>
    <row r="57" spans="1:104">
      <c r="A57" s="81" t="s">
        <v>331</v>
      </c>
      <c r="C57" s="81" t="s">
        <v>343</v>
      </c>
      <c r="E57" s="81" t="s">
        <v>129</v>
      </c>
      <c r="F57" s="81" t="s">
        <v>130</v>
      </c>
      <c r="BE57" s="81">
        <v>46.49</v>
      </c>
      <c r="BF57" s="81">
        <v>1.593</v>
      </c>
      <c r="BG57" s="81">
        <v>14.02</v>
      </c>
      <c r="BH57" s="81">
        <v>14.24</v>
      </c>
      <c r="BI57" s="81">
        <v>0.22500000000000001</v>
      </c>
      <c r="BJ57" s="81">
        <v>7.56</v>
      </c>
      <c r="BK57" s="81">
        <v>10.44</v>
      </c>
      <c r="BL57" s="81">
        <v>2.27</v>
      </c>
      <c r="BM57" s="81">
        <v>0.27</v>
      </c>
      <c r="BN57" s="81">
        <v>0.121</v>
      </c>
      <c r="BO57" s="81">
        <v>2.64</v>
      </c>
      <c r="BP57" s="102">
        <v>10.816379818028233</v>
      </c>
      <c r="BQ57" s="102">
        <v>0.40609215205774141</v>
      </c>
      <c r="BR57" s="102">
        <v>54.208710039657554</v>
      </c>
      <c r="BS57" s="102">
        <v>418.38286939901252</v>
      </c>
      <c r="BT57" s="102">
        <v>200.5363011348351</v>
      </c>
      <c r="BU57" s="102">
        <v>56.231220544007421</v>
      </c>
      <c r="BV57" s="102">
        <v>89.123277932641699</v>
      </c>
      <c r="BW57" s="102">
        <v>126.60699744709866</v>
      </c>
      <c r="BX57" s="102">
        <v>97.961763402676439</v>
      </c>
      <c r="BY57" s="102">
        <v>19.036181244575651</v>
      </c>
      <c r="BZ57" s="102"/>
      <c r="CA57" s="102">
        <v>3.3082450366123135</v>
      </c>
      <c r="CB57" s="102">
        <v>107.97842619715098</v>
      </c>
      <c r="CC57" s="102">
        <v>35.378152954471453</v>
      </c>
      <c r="CD57" s="102">
        <v>95.237877469110444</v>
      </c>
      <c r="CE57" s="102">
        <v>2.2408998151710868</v>
      </c>
      <c r="CF57" s="102">
        <v>9.5346955923866591E-2</v>
      </c>
      <c r="CG57" s="102">
        <v>39.350250695307238</v>
      </c>
      <c r="CH57" s="102">
        <v>3.4372595331600571</v>
      </c>
      <c r="CI57" s="102">
        <v>9.867148862181562</v>
      </c>
      <c r="CJ57" s="102">
        <v>1.6396388569686473</v>
      </c>
      <c r="CK57" s="102">
        <v>9.3151754115253897</v>
      </c>
      <c r="CL57" s="102">
        <v>3.8570118798860182</v>
      </c>
      <c r="CM57" s="102">
        <v>1.5033085009548559</v>
      </c>
      <c r="CN57" s="102">
        <v>5.2599426957420476</v>
      </c>
      <c r="CO57" s="102">
        <v>0.97336643584384286</v>
      </c>
      <c r="CP57" s="102">
        <v>6.3097892080883415</v>
      </c>
      <c r="CQ57" s="102">
        <v>1.3693441600117011</v>
      </c>
      <c r="CR57" s="102">
        <v>3.8997125127331551</v>
      </c>
      <c r="CS57" s="102">
        <v>0.58564768966232683</v>
      </c>
      <c r="CT57" s="102">
        <v>3.6932931671459102</v>
      </c>
      <c r="CU57" s="102">
        <v>0.57722003578143555</v>
      </c>
      <c r="CV57" s="102">
        <v>2.7549498208190042</v>
      </c>
      <c r="CW57" s="102">
        <v>0.14526223740126204</v>
      </c>
      <c r="CX57" s="102">
        <v>0.79226690757610341</v>
      </c>
      <c r="CY57" s="102">
        <v>0.46223650851799009</v>
      </c>
      <c r="CZ57" s="102">
        <v>7.9828580938459098E-2</v>
      </c>
    </row>
    <row r="58" spans="1:104">
      <c r="A58" s="81" t="s">
        <v>332</v>
      </c>
      <c r="C58" s="81" t="s">
        <v>344</v>
      </c>
      <c r="E58" s="81" t="s">
        <v>129</v>
      </c>
      <c r="F58" s="81" t="s">
        <v>130</v>
      </c>
      <c r="BE58" s="81">
        <v>43.06</v>
      </c>
      <c r="BF58" s="81">
        <v>2.3809999999999998</v>
      </c>
      <c r="BG58" s="81">
        <v>34.39</v>
      </c>
      <c r="BH58" s="81">
        <v>3.73</v>
      </c>
      <c r="BI58" s="81">
        <v>3.1E-2</v>
      </c>
      <c r="BJ58" s="81">
        <v>0.4</v>
      </c>
      <c r="BK58" s="81">
        <v>0.33</v>
      </c>
      <c r="BL58" s="81">
        <v>0.55000000000000004</v>
      </c>
      <c r="BM58" s="81">
        <v>0.23</v>
      </c>
      <c r="BN58" s="81">
        <v>0.112</v>
      </c>
      <c r="BO58" s="81">
        <v>15.6</v>
      </c>
      <c r="BP58" s="102">
        <v>24.72307306666934</v>
      </c>
      <c r="BQ58" s="102">
        <v>0.55082159288469734</v>
      </c>
      <c r="BR58" s="102">
        <v>104.76607289878527</v>
      </c>
      <c r="BS58" s="102">
        <v>710.58157156086475</v>
      </c>
      <c r="BT58" s="102">
        <v>736.32654482713451</v>
      </c>
      <c r="BU58" s="102">
        <v>87.305066821206083</v>
      </c>
      <c r="BV58" s="102">
        <v>189.0984530213197</v>
      </c>
      <c r="BW58" s="102">
        <v>251.41721520501559</v>
      </c>
      <c r="BX58" s="102">
        <v>122.83379556445506</v>
      </c>
      <c r="BY58" s="102">
        <v>49.414923031677318</v>
      </c>
      <c r="BZ58" s="102"/>
      <c r="CA58" s="102">
        <v>2.1645442176574239</v>
      </c>
      <c r="CB58" s="102">
        <v>27.460318768911876</v>
      </c>
      <c r="CC58" s="102">
        <v>41.813095840933393</v>
      </c>
      <c r="CD58" s="102">
        <v>136.7618833439742</v>
      </c>
      <c r="CE58" s="102">
        <v>2.2975303695887392</v>
      </c>
      <c r="CF58" s="102">
        <v>0.11819697717567998</v>
      </c>
      <c r="CG58" s="102">
        <v>7.6796487521613725</v>
      </c>
      <c r="CH58" s="102">
        <v>4.8911945260725886</v>
      </c>
      <c r="CI58" s="102">
        <v>17.139263566523979</v>
      </c>
      <c r="CJ58" s="102">
        <v>2.4864365326385482</v>
      </c>
      <c r="CK58" s="102">
        <v>12.371520950381347</v>
      </c>
      <c r="CL58" s="102">
        <v>5.1184194951464042</v>
      </c>
      <c r="CM58" s="102">
        <v>1.5815105361717898</v>
      </c>
      <c r="CN58" s="102">
        <v>6.3495092433469837</v>
      </c>
      <c r="CO58" s="102">
        <v>1.3248903917749986</v>
      </c>
      <c r="CP58" s="102">
        <v>8.6211446703706365</v>
      </c>
      <c r="CQ58" s="102">
        <v>1.8103952554479306</v>
      </c>
      <c r="CR58" s="102">
        <v>5.1671506934211022</v>
      </c>
      <c r="CS58" s="102">
        <v>0.81799768443679521</v>
      </c>
      <c r="CT58" s="102">
        <v>5.4290665722947731</v>
      </c>
      <c r="CU58" s="102">
        <v>0.81255887644576907</v>
      </c>
      <c r="CV58" s="102">
        <v>4.185510685699497</v>
      </c>
      <c r="CW58" s="102">
        <v>0.16527415970544751</v>
      </c>
      <c r="CX58" s="102">
        <v>1.9581237329007923</v>
      </c>
      <c r="CY58" s="102">
        <v>1.1431013923720394</v>
      </c>
      <c r="CZ58" s="102">
        <v>0.47988496799679187</v>
      </c>
    </row>
    <row r="59" spans="1:104">
      <c r="A59" s="81" t="s">
        <v>333</v>
      </c>
      <c r="C59" s="81" t="s">
        <v>345</v>
      </c>
      <c r="E59" s="81" t="s">
        <v>129</v>
      </c>
      <c r="F59" s="81" t="s">
        <v>130</v>
      </c>
      <c r="BE59" s="81">
        <v>47.21</v>
      </c>
      <c r="BF59" s="81">
        <v>1.147</v>
      </c>
      <c r="BG59" s="81">
        <v>15.36</v>
      </c>
      <c r="BH59" s="81">
        <v>11.98</v>
      </c>
      <c r="BI59" s="81">
        <v>0.18099999999999999</v>
      </c>
      <c r="BJ59" s="81">
        <v>8.34</v>
      </c>
      <c r="BK59" s="81">
        <v>9.99</v>
      </c>
      <c r="BL59" s="81">
        <v>1.83</v>
      </c>
      <c r="BM59" s="81">
        <v>0.23</v>
      </c>
      <c r="BN59" s="81">
        <v>8.5999999999999993E-2</v>
      </c>
      <c r="BO59" s="81">
        <v>5.29</v>
      </c>
      <c r="BP59" s="102">
        <v>6.3029099103674495</v>
      </c>
      <c r="BQ59" s="102">
        <v>0.2089667784919737</v>
      </c>
      <c r="BR59" s="102">
        <v>51.820070313297386</v>
      </c>
      <c r="BS59" s="102">
        <v>335.08259783585254</v>
      </c>
      <c r="BT59" s="102">
        <v>342.80432582557518</v>
      </c>
      <c r="BU59" s="102">
        <v>54.598948525736233</v>
      </c>
      <c r="BV59" s="102">
        <v>107.24368082658124</v>
      </c>
      <c r="BW59" s="102">
        <v>128.60330465055696</v>
      </c>
      <c r="BX59" s="102">
        <v>74.675840520729224</v>
      </c>
      <c r="BY59" s="102">
        <v>16.144364784959631</v>
      </c>
      <c r="BZ59" s="102"/>
      <c r="CA59" s="102">
        <v>3.2433487568187296</v>
      </c>
      <c r="CB59" s="102">
        <v>80.260299316743911</v>
      </c>
      <c r="CC59" s="102">
        <v>27.556515365013642</v>
      </c>
      <c r="CD59" s="102">
        <v>60.130730426900733</v>
      </c>
      <c r="CE59" s="102">
        <v>1.0980651174479374</v>
      </c>
      <c r="CF59" s="102">
        <v>0.16243998506855259</v>
      </c>
      <c r="CG59" s="102">
        <v>18.863551827042212</v>
      </c>
      <c r="CH59" s="102">
        <v>1.7980959457936265</v>
      </c>
      <c r="CI59" s="102">
        <v>5.484944760035833</v>
      </c>
      <c r="CJ59" s="102">
        <v>1.0065288980588922</v>
      </c>
      <c r="CK59" s="102">
        <v>5.9142282760184699</v>
      </c>
      <c r="CL59" s="102">
        <v>2.6181472650444291</v>
      </c>
      <c r="CM59" s="102">
        <v>1.0883667362293188</v>
      </c>
      <c r="CN59" s="102">
        <v>3.7897177107256814</v>
      </c>
      <c r="CO59" s="102">
        <v>0.72223412281436916</v>
      </c>
      <c r="CP59" s="102">
        <v>4.7321138591953886</v>
      </c>
      <c r="CQ59" s="102">
        <v>1.0472281142588042</v>
      </c>
      <c r="CR59" s="102">
        <v>3.0128200429887517</v>
      </c>
      <c r="CS59" s="102">
        <v>0.45279235620748287</v>
      </c>
      <c r="CT59" s="102">
        <v>2.8378981840090991</v>
      </c>
      <c r="CU59" s="102">
        <v>0.44257476478445801</v>
      </c>
      <c r="CV59" s="102">
        <v>1.7830167614830508</v>
      </c>
      <c r="CW59" s="102">
        <v>7.419784568706192E-2</v>
      </c>
      <c r="CX59" s="102">
        <v>0.35603856670386919</v>
      </c>
      <c r="CY59" s="102">
        <v>0.16097780435489739</v>
      </c>
      <c r="CZ59" s="102">
        <v>3.7292661533298688E-2</v>
      </c>
    </row>
    <row r="60" spans="1:104">
      <c r="A60" s="81" t="s">
        <v>334</v>
      </c>
      <c r="C60" s="81" t="s">
        <v>346</v>
      </c>
      <c r="E60" s="81" t="s">
        <v>129</v>
      </c>
      <c r="F60" s="81" t="s">
        <v>130</v>
      </c>
      <c r="BE60" s="81">
        <v>47.41</v>
      </c>
      <c r="BF60" s="81">
        <v>1.117</v>
      </c>
      <c r="BG60" s="81">
        <v>14.82</v>
      </c>
      <c r="BH60" s="81">
        <v>12.21</v>
      </c>
      <c r="BI60" s="81">
        <v>0.20899999999999999</v>
      </c>
      <c r="BJ60" s="81">
        <v>8.33</v>
      </c>
      <c r="BK60" s="81">
        <v>10.55</v>
      </c>
      <c r="BL60" s="81">
        <v>1.97</v>
      </c>
      <c r="BM60" s="81">
        <v>0.16</v>
      </c>
      <c r="BN60" s="81">
        <v>6.8000000000000005E-2</v>
      </c>
      <c r="BO60" s="81">
        <v>3.95</v>
      </c>
      <c r="BP60" s="102">
        <v>9.6271728109872043</v>
      </c>
      <c r="BQ60" s="102">
        <v>0.26544372493897661</v>
      </c>
      <c r="BR60" s="102">
        <v>56.944970805055092</v>
      </c>
      <c r="BS60" s="102">
        <v>355.49186538796295</v>
      </c>
      <c r="BT60" s="102">
        <v>368.91802826434429</v>
      </c>
      <c r="BU60" s="102">
        <v>50.199493530082485</v>
      </c>
      <c r="BV60" s="102">
        <v>92.939292301699595</v>
      </c>
      <c r="BW60" s="102">
        <v>66.714625629890165</v>
      </c>
      <c r="BX60" s="102">
        <v>75.033027396695019</v>
      </c>
      <c r="BY60" s="102">
        <v>16.229764283739154</v>
      </c>
      <c r="BZ60" s="102"/>
      <c r="CA60" s="102">
        <v>2.0677730443925681</v>
      </c>
      <c r="CB60" s="102">
        <v>69.173554360830167</v>
      </c>
      <c r="CC60" s="102">
        <v>29.396273310604592</v>
      </c>
      <c r="CD60" s="102">
        <v>57.525068265614379</v>
      </c>
      <c r="CE60" s="102">
        <v>0.89566483311025413</v>
      </c>
      <c r="CF60" s="102">
        <v>0.12540810599674077</v>
      </c>
      <c r="CG60" s="102">
        <v>15.958173804435656</v>
      </c>
      <c r="CH60" s="102">
        <v>1.671657808250878</v>
      </c>
      <c r="CI60" s="102">
        <v>5.0805182058773957</v>
      </c>
      <c r="CJ60" s="102">
        <v>0.88295924090083089</v>
      </c>
      <c r="CK60" s="102">
        <v>5.3177630515401253</v>
      </c>
      <c r="CL60" s="102">
        <v>2.4734249904693471</v>
      </c>
      <c r="CM60" s="102">
        <v>1.0364434172911625</v>
      </c>
      <c r="CN60" s="102">
        <v>3.8523726581678113</v>
      </c>
      <c r="CO60" s="102">
        <v>0.76069154525300686</v>
      </c>
      <c r="CP60" s="102">
        <v>4.9856728718603094</v>
      </c>
      <c r="CQ60" s="102">
        <v>1.1412391029123026</v>
      </c>
      <c r="CR60" s="102">
        <v>3.2511532768643132</v>
      </c>
      <c r="CS60" s="102">
        <v>0.50181259318402849</v>
      </c>
      <c r="CT60" s="102">
        <v>3.1461697647727558</v>
      </c>
      <c r="CU60" s="102">
        <v>0.51094147226258879</v>
      </c>
      <c r="CV60" s="102">
        <v>1.7660795639019427</v>
      </c>
      <c r="CW60" s="102">
        <v>6.202570419646037E-2</v>
      </c>
      <c r="CX60" s="102">
        <v>0.56097695028479178</v>
      </c>
      <c r="CY60" s="102">
        <v>0.30710765663827128</v>
      </c>
      <c r="CZ60" s="102">
        <v>7.2007307932185571E-2</v>
      </c>
    </row>
    <row r="61" spans="1:104">
      <c r="A61" s="81" t="s">
        <v>335</v>
      </c>
      <c r="C61" s="81" t="s">
        <v>347</v>
      </c>
      <c r="E61" s="81" t="s">
        <v>129</v>
      </c>
      <c r="F61" s="81" t="s">
        <v>130</v>
      </c>
      <c r="BE61" s="81">
        <v>46.65</v>
      </c>
      <c r="BF61" s="81">
        <v>0.95699999999999996</v>
      </c>
      <c r="BG61" s="81">
        <v>15.35</v>
      </c>
      <c r="BH61" s="81">
        <v>11.75</v>
      </c>
      <c r="BI61" s="81">
        <v>0.19900000000000001</v>
      </c>
      <c r="BJ61" s="81">
        <v>9.14</v>
      </c>
      <c r="BK61" s="81">
        <v>11.04</v>
      </c>
      <c r="BL61" s="81">
        <v>2.09</v>
      </c>
      <c r="BM61" s="81">
        <v>0.11</v>
      </c>
      <c r="BN61" s="81">
        <v>6.8000000000000005E-2</v>
      </c>
      <c r="BO61" s="81">
        <v>1.96</v>
      </c>
      <c r="BP61" s="102">
        <v>4.1224736966962663</v>
      </c>
      <c r="BQ61" s="102">
        <v>0.23175263466507218</v>
      </c>
      <c r="BR61" s="102">
        <v>46.295719230272553</v>
      </c>
      <c r="BS61" s="102">
        <v>304.85937900411875</v>
      </c>
      <c r="BT61" s="102">
        <v>323.25116901573517</v>
      </c>
      <c r="BU61" s="102">
        <v>53.482578398980358</v>
      </c>
      <c r="BV61" s="102">
        <v>136.91217147084802</v>
      </c>
      <c r="BW61" s="102">
        <v>167.10768971547583</v>
      </c>
      <c r="BX61" s="102">
        <v>71.658280440252611</v>
      </c>
      <c r="BY61" s="102">
        <v>15.911409275835883</v>
      </c>
      <c r="BZ61" s="102"/>
      <c r="CA61" s="102">
        <v>1.4674916806519309</v>
      </c>
      <c r="CB61" s="102">
        <v>89.366343436398651</v>
      </c>
      <c r="CC61" s="102">
        <v>25.297539292654434</v>
      </c>
      <c r="CD61" s="102">
        <v>53.716185589501038</v>
      </c>
      <c r="CE61" s="102">
        <v>1.5226626646910033</v>
      </c>
      <c r="CF61" s="102">
        <v>9.3423790170681018E-2</v>
      </c>
      <c r="CG61" s="102">
        <v>29.953064892212712</v>
      </c>
      <c r="CH61" s="102">
        <v>2.1674319904621946</v>
      </c>
      <c r="CI61" s="102">
        <v>5.701523059504507</v>
      </c>
      <c r="CJ61" s="102">
        <v>0.95707552712584232</v>
      </c>
      <c r="CK61" s="102">
        <v>5.3544709889869821</v>
      </c>
      <c r="CL61" s="102">
        <v>2.2804367695324914</v>
      </c>
      <c r="CM61" s="102">
        <v>0.91564569478884361</v>
      </c>
      <c r="CN61" s="102">
        <v>3.4165956552588592</v>
      </c>
      <c r="CO61" s="102">
        <v>0.64535757923838499</v>
      </c>
      <c r="CP61" s="102">
        <v>4.2464599500910749</v>
      </c>
      <c r="CQ61" s="102">
        <v>0.96735935339498136</v>
      </c>
      <c r="CR61" s="102">
        <v>2.773680190117644</v>
      </c>
      <c r="CS61" s="102">
        <v>0.42277900651003919</v>
      </c>
      <c r="CT61" s="102">
        <v>2.6789094125015978</v>
      </c>
      <c r="CU61" s="102">
        <v>0.42322737060827842</v>
      </c>
      <c r="CV61" s="102">
        <v>1.5473529055857538</v>
      </c>
      <c r="CW61" s="102">
        <v>9.5211553824448444E-2</v>
      </c>
      <c r="CX61" s="102">
        <v>0.41195600371980029</v>
      </c>
      <c r="CY61" s="102">
        <v>0.30923766945036196</v>
      </c>
      <c r="CZ61" s="102">
        <v>5.9477115742663234E-2</v>
      </c>
    </row>
    <row r="62" spans="1:104">
      <c r="A62" s="81" t="s">
        <v>336</v>
      </c>
      <c r="C62" s="81" t="s">
        <v>348</v>
      </c>
      <c r="E62" s="81" t="s">
        <v>129</v>
      </c>
      <c r="F62" s="81" t="s">
        <v>130</v>
      </c>
      <c r="BE62" s="81">
        <v>43.25</v>
      </c>
      <c r="BF62" s="81">
        <v>1.417</v>
      </c>
      <c r="BG62" s="81">
        <v>15.59</v>
      </c>
      <c r="BH62" s="81">
        <v>16.079999999999998</v>
      </c>
      <c r="BI62" s="81">
        <v>0.24099999999999999</v>
      </c>
      <c r="BJ62" s="81">
        <v>7.53</v>
      </c>
      <c r="BK62" s="81">
        <v>7.19</v>
      </c>
      <c r="BL62" s="81">
        <v>0.42</v>
      </c>
      <c r="BM62" s="81">
        <v>0.21</v>
      </c>
      <c r="BN62" s="81">
        <v>6.0999999999999999E-2</v>
      </c>
      <c r="BO62" s="81">
        <v>8.39</v>
      </c>
      <c r="BP62" s="102">
        <v>18.394457615038618</v>
      </c>
      <c r="BQ62" s="102">
        <v>0.40738214063507294</v>
      </c>
      <c r="BR62" s="102">
        <v>62.705048757887511</v>
      </c>
      <c r="BS62" s="102">
        <v>291.51245985259868</v>
      </c>
      <c r="BT62" s="102">
        <v>263.45391269794948</v>
      </c>
      <c r="BU62" s="102">
        <v>62.01150119093117</v>
      </c>
      <c r="BV62" s="102">
        <v>70.475702925283471</v>
      </c>
      <c r="BW62" s="102">
        <v>214.23650383272283</v>
      </c>
      <c r="BX62" s="102">
        <v>102.14821516910906</v>
      </c>
      <c r="BY62" s="102">
        <v>19.117788393346245</v>
      </c>
      <c r="BZ62" s="102"/>
      <c r="CA62" s="102">
        <v>1.4953189727597274</v>
      </c>
      <c r="CB62" s="102">
        <v>35.848327019691958</v>
      </c>
      <c r="CC62" s="102">
        <v>39.893376888996997</v>
      </c>
      <c r="CD62" s="102">
        <v>81.923928550231523</v>
      </c>
      <c r="CE62" s="102">
        <v>1.4298182013496714</v>
      </c>
      <c r="CF62" s="102">
        <v>6.6210812631499028E-2</v>
      </c>
      <c r="CG62" s="102">
        <v>8.4721600287220937</v>
      </c>
      <c r="CH62" s="102">
        <v>3.1588258665146229</v>
      </c>
      <c r="CI62" s="102">
        <v>9.0707950724657103</v>
      </c>
      <c r="CJ62" s="102">
        <v>1.6620885095014128</v>
      </c>
      <c r="CK62" s="102">
        <v>9.2096950283216739</v>
      </c>
      <c r="CL62" s="102">
        <v>3.9684310714234869</v>
      </c>
      <c r="CM62" s="102">
        <v>1.4952953989779074</v>
      </c>
      <c r="CN62" s="102">
        <v>5.5954723012786225</v>
      </c>
      <c r="CO62" s="102">
        <v>1.08689030511731</v>
      </c>
      <c r="CP62" s="102">
        <v>7.0711723975004936</v>
      </c>
      <c r="CQ62" s="102">
        <v>1.5733407504559371</v>
      </c>
      <c r="CR62" s="102">
        <v>4.585534126927751</v>
      </c>
      <c r="CS62" s="102">
        <v>0.69496317991017398</v>
      </c>
      <c r="CT62" s="102">
        <v>4.4216512904015861</v>
      </c>
      <c r="CU62" s="102">
        <v>0.70183663300817001</v>
      </c>
      <c r="CV62" s="102">
        <v>2.4420671560388927</v>
      </c>
      <c r="CW62" s="102">
        <v>0.10630979349906643</v>
      </c>
      <c r="CX62" s="102">
        <v>1.7106362788792131</v>
      </c>
      <c r="CY62" s="102">
        <v>0.84097271544243479</v>
      </c>
      <c r="CZ62" s="102">
        <v>0.17170515675547346</v>
      </c>
    </row>
    <row r="63" spans="1:104">
      <c r="A63" s="81" t="s">
        <v>337</v>
      </c>
      <c r="C63" s="81" t="s">
        <v>349</v>
      </c>
      <c r="E63" s="81" t="s">
        <v>129</v>
      </c>
      <c r="F63" s="81" t="s">
        <v>130</v>
      </c>
      <c r="BE63" s="81">
        <v>47.36</v>
      </c>
      <c r="BF63" s="81">
        <v>1.3109999999999999</v>
      </c>
      <c r="BG63" s="81">
        <v>13.33</v>
      </c>
      <c r="BH63" s="81">
        <v>14.05</v>
      </c>
      <c r="BI63" s="81">
        <v>0.221</v>
      </c>
      <c r="BJ63" s="81">
        <v>8.36</v>
      </c>
      <c r="BK63" s="81">
        <v>10.41</v>
      </c>
      <c r="BL63" s="81">
        <v>1.94</v>
      </c>
      <c r="BM63" s="81">
        <v>0.19</v>
      </c>
      <c r="BN63" s="81">
        <v>8.2000000000000003E-2</v>
      </c>
      <c r="BO63" s="81">
        <v>2.4</v>
      </c>
      <c r="BP63" s="102">
        <v>12.895730643121157</v>
      </c>
      <c r="BQ63" s="102">
        <v>0.36457232828640823</v>
      </c>
      <c r="BR63" s="102">
        <v>56.856178170026965</v>
      </c>
      <c r="BS63" s="102">
        <v>406.43959476525799</v>
      </c>
      <c r="BT63" s="102">
        <v>190.31842569634563</v>
      </c>
      <c r="BU63" s="102">
        <v>52.014875264194792</v>
      </c>
      <c r="BV63" s="102">
        <v>58.147618712691333</v>
      </c>
      <c r="BW63" s="102">
        <v>98.757741509459024</v>
      </c>
      <c r="BX63" s="102">
        <v>96.304750569001371</v>
      </c>
      <c r="BY63" s="102">
        <v>17.768716685710388</v>
      </c>
      <c r="BZ63" s="102"/>
      <c r="CA63" s="102">
        <v>3.781064048438695</v>
      </c>
      <c r="CB63" s="102">
        <v>77.803877511432333</v>
      </c>
      <c r="CC63" s="102">
        <v>35.264927753520212</v>
      </c>
      <c r="CD63" s="102">
        <v>83.210856612370492</v>
      </c>
      <c r="CE63" s="102">
        <v>1.6938302980219739</v>
      </c>
      <c r="CF63" s="102">
        <v>0.66272721459510942</v>
      </c>
      <c r="CG63" s="102">
        <v>32.325467751846148</v>
      </c>
      <c r="CH63" s="102">
        <v>3.755302592420835</v>
      </c>
      <c r="CI63" s="102">
        <v>9.6561094810911516</v>
      </c>
      <c r="CJ63" s="102">
        <v>1.4762161696916434</v>
      </c>
      <c r="CK63" s="102">
        <v>7.855384105698251</v>
      </c>
      <c r="CL63" s="102">
        <v>3.2269889908159612</v>
      </c>
      <c r="CM63" s="102">
        <v>1.2071077402324022</v>
      </c>
      <c r="CN63" s="102">
        <v>4.5791029171966215</v>
      </c>
      <c r="CO63" s="102">
        <v>0.91389632124238973</v>
      </c>
      <c r="CP63" s="102">
        <v>6.0285528498798406</v>
      </c>
      <c r="CQ63" s="102">
        <v>1.3553694270629975</v>
      </c>
      <c r="CR63" s="102">
        <v>3.9157461592535525</v>
      </c>
      <c r="CS63" s="102">
        <v>0.60032074646642097</v>
      </c>
      <c r="CT63" s="102">
        <v>3.8506172719606102</v>
      </c>
      <c r="CU63" s="102">
        <v>0.61023535157442188</v>
      </c>
      <c r="CV63" s="102">
        <v>2.4434449374110589</v>
      </c>
      <c r="CW63" s="102">
        <v>0.12124528706078889</v>
      </c>
      <c r="CX63" s="102">
        <v>1.795817581499165</v>
      </c>
      <c r="CY63" s="102">
        <v>1.0955756595895092</v>
      </c>
      <c r="CZ63" s="102">
        <v>0.15088820803771688</v>
      </c>
    </row>
    <row r="64" spans="1:104">
      <c r="A64" s="81" t="s">
        <v>338</v>
      </c>
      <c r="C64" s="81" t="s">
        <v>350</v>
      </c>
      <c r="E64" s="81" t="s">
        <v>129</v>
      </c>
      <c r="F64" s="81" t="s">
        <v>130</v>
      </c>
      <c r="BE64" s="81">
        <v>45.71</v>
      </c>
      <c r="BF64" s="81">
        <v>1.5055000000000001</v>
      </c>
      <c r="BG64" s="81">
        <v>13.36</v>
      </c>
      <c r="BH64" s="81">
        <v>15.34</v>
      </c>
      <c r="BI64" s="81">
        <v>0.26800000000000002</v>
      </c>
      <c r="BJ64" s="81">
        <v>6.92</v>
      </c>
      <c r="BK64" s="81">
        <v>9.8699999999999992</v>
      </c>
      <c r="BL64" s="81">
        <v>1.91</v>
      </c>
      <c r="BM64" s="81">
        <v>0.2</v>
      </c>
      <c r="BN64" s="81">
        <v>0.11700000000000001</v>
      </c>
      <c r="BO64" s="81">
        <v>3.71</v>
      </c>
      <c r="BP64" s="102">
        <v>12.970155381559803</v>
      </c>
      <c r="BQ64" s="102">
        <v>0.47380222871298117</v>
      </c>
      <c r="BR64" s="102">
        <v>56.076756261318792</v>
      </c>
      <c r="BS64" s="102">
        <v>423.28981472020587</v>
      </c>
      <c r="BT64" s="102">
        <v>37.472370204532034</v>
      </c>
      <c r="BU64" s="102">
        <v>50.622932526174715</v>
      </c>
      <c r="BV64" s="102">
        <v>39.564918639942526</v>
      </c>
      <c r="BW64" s="102">
        <v>67.959886479516925</v>
      </c>
      <c r="BX64" s="102">
        <v>99.34378576058954</v>
      </c>
      <c r="BY64" s="102">
        <v>18.530005521978097</v>
      </c>
      <c r="BZ64" s="102"/>
      <c r="CA64" s="102">
        <v>2.1969327169264425</v>
      </c>
      <c r="CB64" s="102">
        <v>87.225854764017015</v>
      </c>
      <c r="CC64" s="102">
        <v>37.736689050444824</v>
      </c>
      <c r="CD64" s="102">
        <v>100.97254017223092</v>
      </c>
      <c r="CE64" s="102">
        <v>2.3795837746888973</v>
      </c>
      <c r="CF64" s="102">
        <v>0.52138139958719576</v>
      </c>
      <c r="CG64" s="102">
        <v>37.497087263474583</v>
      </c>
      <c r="CH64" s="102">
        <v>5.1947286111837574</v>
      </c>
      <c r="CI64" s="102">
        <v>13.34609534565784</v>
      </c>
      <c r="CJ64" s="102">
        <v>1.9646370622075833</v>
      </c>
      <c r="CK64" s="102">
        <v>9.6631356275735083</v>
      </c>
      <c r="CL64" s="102">
        <v>3.7373197545546502</v>
      </c>
      <c r="CM64" s="102">
        <v>1.3465646700010845</v>
      </c>
      <c r="CN64" s="102">
        <v>5.2423255243660796</v>
      </c>
      <c r="CO64" s="102">
        <v>0.98006139641321177</v>
      </c>
      <c r="CP64" s="102">
        <v>6.5376131723669273</v>
      </c>
      <c r="CQ64" s="102">
        <v>1.448115400284719</v>
      </c>
      <c r="CR64" s="102">
        <v>4.1676001537308638</v>
      </c>
      <c r="CS64" s="102">
        <v>0.65174950783071683</v>
      </c>
      <c r="CT64" s="102">
        <v>4.0881206926470721</v>
      </c>
      <c r="CU64" s="102">
        <v>0.65408767190306949</v>
      </c>
      <c r="CV64" s="102">
        <v>2.9016918712868645</v>
      </c>
      <c r="CW64" s="102">
        <v>0.16791565037679126</v>
      </c>
      <c r="CX64" s="102">
        <v>2.5416387777685783</v>
      </c>
      <c r="CY64" s="102">
        <v>1.5560542191459297</v>
      </c>
      <c r="CZ64" s="102">
        <v>0.19403485424411032</v>
      </c>
    </row>
    <row r="65" spans="1:104">
      <c r="A65" s="81" t="s">
        <v>339</v>
      </c>
      <c r="C65" s="81" t="s">
        <v>351</v>
      </c>
      <c r="E65" s="81" t="s">
        <v>129</v>
      </c>
      <c r="F65" s="81" t="s">
        <v>130</v>
      </c>
      <c r="BE65" s="81">
        <v>48.47</v>
      </c>
      <c r="BF65" s="81">
        <v>0.97</v>
      </c>
      <c r="BG65" s="81">
        <v>14.6</v>
      </c>
      <c r="BH65" s="81">
        <v>10.039999999999999</v>
      </c>
      <c r="BI65" s="81">
        <v>0.184</v>
      </c>
      <c r="BJ65" s="81">
        <v>7.96</v>
      </c>
      <c r="BK65" s="81">
        <v>10.59</v>
      </c>
      <c r="BL65" s="81">
        <v>1.91</v>
      </c>
      <c r="BM65" s="81">
        <v>0.1</v>
      </c>
      <c r="BN65" s="81">
        <v>4.9000000000000002E-2</v>
      </c>
      <c r="BO65" s="81">
        <v>3.95</v>
      </c>
      <c r="BP65" s="102">
        <v>19.202628038869559</v>
      </c>
      <c r="BQ65" s="102">
        <v>0.24132116878130183</v>
      </c>
      <c r="BR65" s="102">
        <v>56.943603918808371</v>
      </c>
      <c r="BS65" s="102">
        <v>337.88349940852243</v>
      </c>
      <c r="BT65" s="102">
        <v>512.19741252234007</v>
      </c>
      <c r="BU65" s="102">
        <v>48.936681596727361</v>
      </c>
      <c r="BV65" s="102">
        <v>68.636740920973708</v>
      </c>
      <c r="BW65" s="102">
        <v>65.773529373548286</v>
      </c>
      <c r="BX65" s="102">
        <v>81.316838481034821</v>
      </c>
      <c r="BY65" s="102">
        <v>16.608584297780286</v>
      </c>
      <c r="BZ65" s="102"/>
      <c r="CA65" s="102">
        <v>1.2223511708288701</v>
      </c>
      <c r="CB65" s="102">
        <v>83.609474567362312</v>
      </c>
      <c r="CC65" s="102">
        <v>25.678115768214244</v>
      </c>
      <c r="CD65" s="102">
        <v>42.26926061190958</v>
      </c>
      <c r="CE65" s="102">
        <v>1.1522889771912628</v>
      </c>
      <c r="CF65" s="102">
        <v>0.16492080746261403</v>
      </c>
      <c r="CG65" s="102">
        <v>16.53252500307882</v>
      </c>
      <c r="CH65" s="102">
        <v>2.153906455384361</v>
      </c>
      <c r="CI65" s="102">
        <v>5.5127309412928058</v>
      </c>
      <c r="CJ65" s="102">
        <v>0.89644244120133776</v>
      </c>
      <c r="CK65" s="102">
        <v>4.9579151631237943</v>
      </c>
      <c r="CL65" s="102">
        <v>2.1807793876412296</v>
      </c>
      <c r="CM65" s="102">
        <v>0.94989400640204691</v>
      </c>
      <c r="CN65" s="102">
        <v>3.3184645011090819</v>
      </c>
      <c r="CO65" s="102">
        <v>0.65209782454411536</v>
      </c>
      <c r="CP65" s="102">
        <v>4.3453553743799924</v>
      </c>
      <c r="CQ65" s="102">
        <v>0.98588929799645597</v>
      </c>
      <c r="CR65" s="102">
        <v>2.8844372147064243</v>
      </c>
      <c r="CS65" s="102">
        <v>0.45031829231801102</v>
      </c>
      <c r="CT65" s="102">
        <v>2.9345541522136456</v>
      </c>
      <c r="CU65" s="102">
        <v>0.45427061825235149</v>
      </c>
      <c r="CV65" s="102">
        <v>1.362597949671343</v>
      </c>
      <c r="CW65" s="102">
        <v>8.1728749164994355E-2</v>
      </c>
      <c r="CX65" s="102">
        <v>0.81082160385501778</v>
      </c>
      <c r="CY65" s="102">
        <v>0.18222345334097376</v>
      </c>
      <c r="CZ65" s="102">
        <v>7.4403263825299326E-2</v>
      </c>
    </row>
    <row r="66" spans="1:104">
      <c r="A66" s="81" t="s">
        <v>340</v>
      </c>
      <c r="C66" s="81" t="s">
        <v>352</v>
      </c>
      <c r="E66" s="81" t="s">
        <v>129</v>
      </c>
      <c r="F66" s="81" t="s">
        <v>130</v>
      </c>
      <c r="BE66" s="81">
        <v>47.98</v>
      </c>
      <c r="BF66" s="81">
        <v>1.1100000000000001</v>
      </c>
      <c r="BG66" s="81">
        <v>15.15</v>
      </c>
      <c r="BH66" s="81">
        <v>11.77</v>
      </c>
      <c r="BI66" s="81">
        <v>0.22600000000000001</v>
      </c>
      <c r="BJ66" s="81">
        <v>8.09</v>
      </c>
      <c r="BK66" s="81">
        <v>11.44</v>
      </c>
      <c r="BL66" s="81">
        <v>1.89</v>
      </c>
      <c r="BM66" s="81">
        <v>0.1</v>
      </c>
      <c r="BN66" s="81">
        <v>7.9000000000000001E-2</v>
      </c>
      <c r="BO66" s="81">
        <v>2.09</v>
      </c>
      <c r="BP66" s="102">
        <v>29.871515978683792</v>
      </c>
      <c r="BQ66" s="102">
        <v>0.31271572926156421</v>
      </c>
      <c r="BR66" s="102">
        <v>53.087857184988607</v>
      </c>
      <c r="BS66" s="102">
        <v>324.15532038598474</v>
      </c>
      <c r="BT66" s="102">
        <v>463.26922844730444</v>
      </c>
      <c r="BU66" s="102">
        <v>45.752429410918694</v>
      </c>
      <c r="BV66" s="102">
        <v>55.816287358281286</v>
      </c>
      <c r="BW66" s="102">
        <v>36.273775249180723</v>
      </c>
      <c r="BX66" s="102">
        <v>78.680074498129741</v>
      </c>
      <c r="BY66" s="102">
        <v>16.584911909094053</v>
      </c>
      <c r="BZ66" s="102"/>
      <c r="CA66" s="102">
        <v>1.3970537046671323</v>
      </c>
      <c r="CB66" s="102">
        <v>95.435035009888196</v>
      </c>
      <c r="CC66" s="102">
        <v>25.894920315114998</v>
      </c>
      <c r="CD66" s="102">
        <v>51.78961616682939</v>
      </c>
      <c r="CE66" s="102">
        <v>1.4555844314745559</v>
      </c>
      <c r="CF66" s="102">
        <v>0.28044942626200037</v>
      </c>
      <c r="CG66" s="102">
        <v>20.998631330001228</v>
      </c>
      <c r="CH66" s="102">
        <v>2.5377335946767654</v>
      </c>
      <c r="CI66" s="102">
        <v>6.5275982234202807</v>
      </c>
      <c r="CJ66" s="102">
        <v>1.0805766933044703</v>
      </c>
      <c r="CK66" s="102">
        <v>5.8301058393108525</v>
      </c>
      <c r="CL66" s="102">
        <v>2.3805361292632301</v>
      </c>
      <c r="CM66" s="102">
        <v>1.0456430419938583</v>
      </c>
      <c r="CN66" s="102">
        <v>3.5244735516893271</v>
      </c>
      <c r="CO66" s="102">
        <v>0.68219284781456813</v>
      </c>
      <c r="CP66" s="102">
        <v>4.4939522190967782</v>
      </c>
      <c r="CQ66" s="102">
        <v>1.0087280941371382</v>
      </c>
      <c r="CR66" s="102">
        <v>2.860599389091032</v>
      </c>
      <c r="CS66" s="102">
        <v>0.44220711670929225</v>
      </c>
      <c r="CT66" s="102">
        <v>2.7737084053464098</v>
      </c>
      <c r="CU66" s="102">
        <v>0.44366156534018525</v>
      </c>
      <c r="CV66" s="102">
        <v>1.6052570655294147</v>
      </c>
      <c r="CW66" s="102">
        <v>0.10498940350330643</v>
      </c>
      <c r="CX66" s="102">
        <v>0.8167426388525324</v>
      </c>
      <c r="CY66" s="102">
        <v>0.15564373477444149</v>
      </c>
      <c r="CZ66" s="102">
        <v>5.6917336139352952E-2</v>
      </c>
    </row>
    <row r="67" spans="1:104">
      <c r="A67" s="81" t="s">
        <v>353</v>
      </c>
      <c r="C67" s="81" t="s">
        <v>364</v>
      </c>
      <c r="E67" s="81" t="s">
        <v>129</v>
      </c>
      <c r="F67" s="81" t="s">
        <v>130</v>
      </c>
      <c r="BE67" s="81">
        <v>50.15</v>
      </c>
      <c r="BF67" s="81">
        <v>1.5980000000000001</v>
      </c>
      <c r="BG67" s="81">
        <v>15.73</v>
      </c>
      <c r="BH67" s="81">
        <v>16.350000000000001</v>
      </c>
      <c r="BI67" s="81">
        <v>7.3999999999999996E-2</v>
      </c>
      <c r="BJ67" s="81">
        <v>4.0199999999999996</v>
      </c>
      <c r="BK67" s="81">
        <v>1.07</v>
      </c>
      <c r="BL67" s="81">
        <v>1.31</v>
      </c>
      <c r="BM67" s="81">
        <v>2.58</v>
      </c>
      <c r="BN67" s="81">
        <v>1.9E-2</v>
      </c>
      <c r="BO67" s="81">
        <v>9.77</v>
      </c>
      <c r="BP67" s="102">
        <v>36.230123531855355</v>
      </c>
      <c r="BQ67" s="102">
        <v>0.47867418816970592</v>
      </c>
      <c r="BR67" s="102">
        <v>43.549117027633223</v>
      </c>
      <c r="BS67" s="102">
        <v>86.851311035350022</v>
      </c>
      <c r="BT67" s="102">
        <v>229.52873978426473</v>
      </c>
      <c r="BU67" s="102">
        <v>50.026152565715847</v>
      </c>
      <c r="BV67" s="102">
        <v>100.15078685630273</v>
      </c>
      <c r="BW67" s="102">
        <v>177.28669110713824</v>
      </c>
      <c r="BX67" s="102">
        <v>65.41001944855428</v>
      </c>
      <c r="BY67" s="102">
        <v>19.551142452243017</v>
      </c>
      <c r="BZ67" s="102"/>
      <c r="CA67" s="102">
        <v>63.85885859967518</v>
      </c>
      <c r="CB67" s="102">
        <v>31.178655081333652</v>
      </c>
      <c r="CC67" s="102">
        <v>5.6606990112402871</v>
      </c>
      <c r="CD67" s="102">
        <v>91.043827802862111</v>
      </c>
      <c r="CE67" s="102">
        <v>4.7344277236730354</v>
      </c>
      <c r="CF67" s="102">
        <v>0.61480394351457657</v>
      </c>
      <c r="CG67" s="102">
        <v>3.9778945329230351</v>
      </c>
      <c r="CH67" s="102">
        <v>1.245992980684677</v>
      </c>
      <c r="CI67" s="102">
        <v>5.1992300109479945</v>
      </c>
      <c r="CJ67" s="102">
        <v>0.66505239515789749</v>
      </c>
      <c r="CK67" s="102">
        <v>3.2970188552650646</v>
      </c>
      <c r="CL67" s="102">
        <v>1.2187879309873886</v>
      </c>
      <c r="CM67" s="102">
        <v>0.50222301522156465</v>
      </c>
      <c r="CN67" s="102">
        <v>1.3198668759420713</v>
      </c>
      <c r="CO67" s="102">
        <v>0.2464996187211301</v>
      </c>
      <c r="CP67" s="102">
        <v>1.470739017532487</v>
      </c>
      <c r="CQ67" s="102">
        <v>0.29892965334295946</v>
      </c>
      <c r="CR67" s="102">
        <v>0.83932965060738618</v>
      </c>
      <c r="CS67" s="102">
        <v>0.14252290143123722</v>
      </c>
      <c r="CT67" s="102">
        <v>1.0816972630156112</v>
      </c>
      <c r="CU67" s="102">
        <v>0.17032173408825912</v>
      </c>
      <c r="CV67" s="102">
        <v>2.5207919343454592</v>
      </c>
      <c r="CW67" s="102">
        <v>0.33676717382013083</v>
      </c>
      <c r="CX67" s="102">
        <v>0.22932327777837136</v>
      </c>
      <c r="CY67" s="102">
        <v>0.42031751917601345</v>
      </c>
      <c r="CZ67" s="102">
        <v>0.1415122613660022</v>
      </c>
    </row>
    <row r="68" spans="1:104">
      <c r="A68" s="81" t="s">
        <v>354</v>
      </c>
      <c r="C68" s="81" t="s">
        <v>365</v>
      </c>
      <c r="E68" s="81" t="s">
        <v>129</v>
      </c>
      <c r="F68" s="81" t="s">
        <v>130</v>
      </c>
      <c r="BE68" s="81">
        <v>48.51</v>
      </c>
      <c r="BF68" s="81">
        <v>2.258</v>
      </c>
      <c r="BG68" s="81">
        <v>14.4</v>
      </c>
      <c r="BH68" s="81">
        <v>13.93</v>
      </c>
      <c r="BI68" s="81">
        <v>0.187</v>
      </c>
      <c r="BJ68" s="81">
        <v>6.5</v>
      </c>
      <c r="BK68" s="81">
        <v>9.77</v>
      </c>
      <c r="BL68" s="81">
        <v>2.87</v>
      </c>
      <c r="BM68" s="81">
        <v>0.17</v>
      </c>
      <c r="BN68" s="81">
        <v>0.19800000000000001</v>
      </c>
      <c r="BO68" s="81">
        <v>0.65</v>
      </c>
      <c r="BP68" s="102">
        <v>7.7693599320193041</v>
      </c>
      <c r="BQ68" s="102">
        <v>0.68496558585472422</v>
      </c>
      <c r="BR68" s="102">
        <v>39.622227310227636</v>
      </c>
      <c r="BS68" s="102">
        <v>387.19205137678625</v>
      </c>
      <c r="BT68" s="102">
        <v>93.06653539466906</v>
      </c>
      <c r="BU68" s="102">
        <v>48.923014054915839</v>
      </c>
      <c r="BV68" s="102">
        <v>66.300013936628957</v>
      </c>
      <c r="BW68" s="102">
        <v>149.79605538352084</v>
      </c>
      <c r="BX68" s="102">
        <v>109.89866294040471</v>
      </c>
      <c r="BY68" s="102">
        <v>21.666838682539801</v>
      </c>
      <c r="BZ68" s="102"/>
      <c r="CA68" s="102">
        <v>1.2710134695992519</v>
      </c>
      <c r="CB68" s="102">
        <v>213.95140124160324</v>
      </c>
      <c r="CC68" s="102">
        <v>34.067171168562965</v>
      </c>
      <c r="CD68" s="102">
        <v>141.34154083421581</v>
      </c>
      <c r="CE68" s="102">
        <v>8.6777281766659975</v>
      </c>
      <c r="CF68" s="102">
        <v>8.5588545428067087E-3</v>
      </c>
      <c r="CG68" s="102">
        <v>46.590398769932619</v>
      </c>
      <c r="CH68" s="102">
        <v>8.9582168696377167</v>
      </c>
      <c r="CI68" s="102">
        <v>23.548704898586983</v>
      </c>
      <c r="CJ68" s="102">
        <v>3.4541296588125157</v>
      </c>
      <c r="CK68" s="102">
        <v>16.469802845151595</v>
      </c>
      <c r="CL68" s="102">
        <v>5.200082023380185</v>
      </c>
      <c r="CM68" s="102">
        <v>1.8581746607763732</v>
      </c>
      <c r="CN68" s="102">
        <v>6.0536703766277675</v>
      </c>
      <c r="CO68" s="102">
        <v>1.0697559064411022</v>
      </c>
      <c r="CP68" s="102">
        <v>6.4852468195658908</v>
      </c>
      <c r="CQ68" s="102">
        <v>1.3646746127459464</v>
      </c>
      <c r="CR68" s="102">
        <v>3.6565707783285295</v>
      </c>
      <c r="CS68" s="102">
        <v>0.53843058702292335</v>
      </c>
      <c r="CT68" s="102">
        <v>3.3156331816956262</v>
      </c>
      <c r="CU68" s="102">
        <v>0.51571965054586233</v>
      </c>
      <c r="CV68" s="102">
        <v>3.8018844009607506</v>
      </c>
      <c r="CW68" s="102">
        <v>0.59828957645001413</v>
      </c>
      <c r="CX68" s="102">
        <v>0.9225670007545842</v>
      </c>
      <c r="CY68" s="102">
        <v>0.79010845335401325</v>
      </c>
      <c r="CZ68" s="102">
        <v>0.19572715762748397</v>
      </c>
    </row>
    <row r="69" spans="1:104">
      <c r="A69" s="81" t="s">
        <v>355</v>
      </c>
      <c r="C69" s="81" t="s">
        <v>366</v>
      </c>
      <c r="E69" s="81" t="s">
        <v>129</v>
      </c>
      <c r="F69" s="81" t="s">
        <v>130</v>
      </c>
      <c r="BE69" s="81">
        <v>48.04</v>
      </c>
      <c r="BF69" s="81">
        <v>1.9870000000000001</v>
      </c>
      <c r="BG69" s="81">
        <v>15.3</v>
      </c>
      <c r="BH69" s="81">
        <v>13.05</v>
      </c>
      <c r="BI69" s="81">
        <v>0.186</v>
      </c>
      <c r="BJ69" s="81">
        <v>6.71</v>
      </c>
      <c r="BK69" s="81">
        <v>8.8000000000000007</v>
      </c>
      <c r="BL69" s="81">
        <v>2.89</v>
      </c>
      <c r="BM69" s="81">
        <v>0.19</v>
      </c>
      <c r="BN69" s="81">
        <v>0.16800000000000001</v>
      </c>
      <c r="BO69" s="81">
        <v>1.9</v>
      </c>
      <c r="BP69" s="102">
        <v>7.3451905902843109</v>
      </c>
      <c r="BQ69" s="102">
        <v>0.50879436663742406</v>
      </c>
      <c r="BR69" s="102">
        <v>42.800931956432912</v>
      </c>
      <c r="BS69" s="102">
        <v>365.29808184322161</v>
      </c>
      <c r="BT69" s="102">
        <v>170.70411431258924</v>
      </c>
      <c r="BU69" s="102">
        <v>49.299691483542368</v>
      </c>
      <c r="BV69" s="102">
        <v>78.426944850074449</v>
      </c>
      <c r="BW69" s="102">
        <v>160.13213689785781</v>
      </c>
      <c r="BX69" s="102">
        <v>102.93335987038338</v>
      </c>
      <c r="BY69" s="102">
        <v>21.116001917805157</v>
      </c>
      <c r="BZ69" s="102"/>
      <c r="CA69" s="102">
        <v>2.135769114284118</v>
      </c>
      <c r="CB69" s="102">
        <v>192.35097143535543</v>
      </c>
      <c r="CC69" s="102">
        <v>28.064096051878131</v>
      </c>
      <c r="CD69" s="102">
        <v>111.23955243060617</v>
      </c>
      <c r="CE69" s="102">
        <v>6.2978891913871982</v>
      </c>
      <c r="CF69" s="102">
        <v>4.0556248023631149E-2</v>
      </c>
      <c r="CG69" s="102">
        <v>23.848583627407812</v>
      </c>
      <c r="CH69" s="102">
        <v>6.7231420606085903</v>
      </c>
      <c r="CI69" s="102">
        <v>17.972674082996342</v>
      </c>
      <c r="CJ69" s="102">
        <v>2.6870607950204048</v>
      </c>
      <c r="CK69" s="102">
        <v>13.947993462797799</v>
      </c>
      <c r="CL69" s="102">
        <v>4.4017344738341473</v>
      </c>
      <c r="CM69" s="102">
        <v>1.6233437088344265</v>
      </c>
      <c r="CN69" s="102">
        <v>5.458882107542081</v>
      </c>
      <c r="CO69" s="102">
        <v>0.91296354716104422</v>
      </c>
      <c r="CP69" s="102">
        <v>5.2721951558077906</v>
      </c>
      <c r="CQ69" s="102">
        <v>1.1004148233742719</v>
      </c>
      <c r="CR69" s="102">
        <v>3.0515733561563443</v>
      </c>
      <c r="CS69" s="102">
        <v>0.42977170309456214</v>
      </c>
      <c r="CT69" s="102">
        <v>2.4880100404082586</v>
      </c>
      <c r="CU69" s="102">
        <v>0.37492275057658109</v>
      </c>
      <c r="CV69" s="102">
        <v>3.0025578412029486</v>
      </c>
      <c r="CW69" s="102">
        <v>0.41188488207076696</v>
      </c>
      <c r="CX69" s="102">
        <v>0.56493011897476708</v>
      </c>
      <c r="CY69" s="102">
        <v>0.53146432443337244</v>
      </c>
      <c r="CZ69" s="102">
        <v>0.2239577226139825</v>
      </c>
    </row>
    <row r="70" spans="1:104">
      <c r="A70" s="81" t="s">
        <v>356</v>
      </c>
      <c r="C70" s="81" t="s">
        <v>367</v>
      </c>
      <c r="E70" s="81" t="s">
        <v>129</v>
      </c>
      <c r="F70" s="81" t="s">
        <v>130</v>
      </c>
      <c r="BE70" s="81">
        <v>48.28</v>
      </c>
      <c r="BF70" s="81">
        <v>1.883</v>
      </c>
      <c r="BG70" s="81">
        <v>13.75</v>
      </c>
      <c r="BH70" s="81">
        <v>13.1</v>
      </c>
      <c r="BI70" s="81">
        <v>0.185</v>
      </c>
      <c r="BJ70" s="81">
        <v>7.41</v>
      </c>
      <c r="BK70" s="81">
        <v>10.36</v>
      </c>
      <c r="BL70" s="81">
        <v>2.77</v>
      </c>
      <c r="BM70" s="81">
        <v>0.18</v>
      </c>
      <c r="BN70" s="81">
        <v>0.14599999999999999</v>
      </c>
      <c r="BO70" s="81">
        <v>1.43</v>
      </c>
      <c r="BP70" s="102">
        <v>5.9017402029935244</v>
      </c>
      <c r="BQ70" s="102">
        <v>0.48134408729930267</v>
      </c>
      <c r="BR70" s="102">
        <v>41.553241972124184</v>
      </c>
      <c r="BS70" s="102">
        <v>373.27166897522909</v>
      </c>
      <c r="BT70" s="102">
        <v>199.45228914666339</v>
      </c>
      <c r="BU70" s="102">
        <v>50.093060691173491</v>
      </c>
      <c r="BV70" s="102">
        <v>92.983515585673217</v>
      </c>
      <c r="BW70" s="102">
        <v>111.76255428035583</v>
      </c>
      <c r="BX70" s="102">
        <v>96.441004547166088</v>
      </c>
      <c r="BY70" s="102">
        <v>19.428661508777481</v>
      </c>
      <c r="BZ70" s="102"/>
      <c r="CA70" s="102">
        <v>1.4290056127794077</v>
      </c>
      <c r="CB70" s="102">
        <v>191.50890932763542</v>
      </c>
      <c r="CC70" s="102">
        <v>28.858615994667158</v>
      </c>
      <c r="CD70" s="102">
        <v>103.84676580778921</v>
      </c>
      <c r="CE70" s="102">
        <v>5.9798209407886977</v>
      </c>
      <c r="CF70" s="102">
        <v>1.1168423667255937E-2</v>
      </c>
      <c r="CG70" s="102">
        <v>35.416174541940059</v>
      </c>
      <c r="CH70" s="102">
        <v>6.2744827365112972</v>
      </c>
      <c r="CI70" s="102">
        <v>16.65436863273111</v>
      </c>
      <c r="CJ70" s="102">
        <v>2.5036859116007522</v>
      </c>
      <c r="CK70" s="102">
        <v>12.341671945023704</v>
      </c>
      <c r="CL70" s="102">
        <v>4.1251959784068637</v>
      </c>
      <c r="CM70" s="102">
        <v>1.5224588305779516</v>
      </c>
      <c r="CN70" s="102">
        <v>5.0173832727474101</v>
      </c>
      <c r="CO70" s="102">
        <v>0.86116794621320791</v>
      </c>
      <c r="CP70" s="102">
        <v>5.2415244111408352</v>
      </c>
      <c r="CQ70" s="102">
        <v>1.0995527295686707</v>
      </c>
      <c r="CR70" s="102">
        <v>2.9873202697061951</v>
      </c>
      <c r="CS70" s="102">
        <v>0.4439437852053213</v>
      </c>
      <c r="CT70" s="102">
        <v>2.6830574028870937</v>
      </c>
      <c r="CU70" s="102">
        <v>0.40566111747201705</v>
      </c>
      <c r="CV70" s="102">
        <v>2.9006570647335681</v>
      </c>
      <c r="CW70" s="102">
        <v>0.42729425646982055</v>
      </c>
      <c r="CX70" s="102">
        <v>0.60070706534135143</v>
      </c>
      <c r="CY70" s="102">
        <v>0.4976916448019757</v>
      </c>
      <c r="CZ70" s="102">
        <v>0.13274869581353577</v>
      </c>
    </row>
    <row r="71" spans="1:104">
      <c r="A71" s="81" t="s">
        <v>357</v>
      </c>
      <c r="C71" s="81" t="s">
        <v>368</v>
      </c>
      <c r="E71" s="81" t="s">
        <v>129</v>
      </c>
      <c r="F71" s="81" t="s">
        <v>130</v>
      </c>
      <c r="BE71" s="81">
        <v>47.27</v>
      </c>
      <c r="BF71" s="81">
        <v>1.8380000000000001</v>
      </c>
      <c r="BG71" s="81">
        <v>14.83</v>
      </c>
      <c r="BH71" s="81">
        <v>12.34</v>
      </c>
      <c r="BI71" s="81">
        <v>0.161</v>
      </c>
      <c r="BJ71" s="81">
        <v>6.63</v>
      </c>
      <c r="BK71" s="81">
        <v>9.6199999999999992</v>
      </c>
      <c r="BL71" s="81">
        <v>2.64</v>
      </c>
      <c r="BM71" s="81">
        <v>0.17</v>
      </c>
      <c r="BN71" s="81">
        <v>0.124</v>
      </c>
      <c r="BO71" s="81">
        <v>2.65</v>
      </c>
      <c r="BP71" s="102">
        <v>6.6104929998005177</v>
      </c>
      <c r="BQ71" s="102">
        <v>0.52766189021976095</v>
      </c>
      <c r="BR71" s="102">
        <v>38.713312920696907</v>
      </c>
      <c r="BS71" s="102">
        <v>362.53660787723049</v>
      </c>
      <c r="BT71" s="102">
        <v>145.28147765023206</v>
      </c>
      <c r="BU71" s="102">
        <v>47.886700351487505</v>
      </c>
      <c r="BV71" s="102">
        <v>74.821685060312191</v>
      </c>
      <c r="BW71" s="102">
        <v>122.54299993322947</v>
      </c>
      <c r="BX71" s="102">
        <v>98.048951550946725</v>
      </c>
      <c r="BY71" s="102">
        <v>20.387924646962862</v>
      </c>
      <c r="BZ71" s="102"/>
      <c r="CA71" s="102">
        <v>1.8079943449650644</v>
      </c>
      <c r="CB71" s="102">
        <v>206.48069694584876</v>
      </c>
      <c r="CC71" s="102">
        <v>25.781447950386791</v>
      </c>
      <c r="CD71" s="102">
        <v>101.32479398842874</v>
      </c>
      <c r="CE71" s="102">
        <v>5.853030231433042</v>
      </c>
      <c r="CF71" s="102">
        <v>1.2009569217261639E-2</v>
      </c>
      <c r="CG71" s="102">
        <v>34.814520132183972</v>
      </c>
      <c r="CH71" s="102">
        <v>6.056146567359372</v>
      </c>
      <c r="CI71" s="102">
        <v>16.063638408021312</v>
      </c>
      <c r="CJ71" s="102">
        <v>2.4299580186359426</v>
      </c>
      <c r="CK71" s="102">
        <v>11.773456581257728</v>
      </c>
      <c r="CL71" s="102">
        <v>3.9115333162836063</v>
      </c>
      <c r="CM71" s="102">
        <v>1.515698658259595</v>
      </c>
      <c r="CN71" s="102">
        <v>4.808626317918721</v>
      </c>
      <c r="CO71" s="102">
        <v>0.83570667495803919</v>
      </c>
      <c r="CP71" s="102">
        <v>5.0254043161004365</v>
      </c>
      <c r="CQ71" s="102">
        <v>1.0574332211955031</v>
      </c>
      <c r="CR71" s="102">
        <v>2.8728053564697618</v>
      </c>
      <c r="CS71" s="102">
        <v>0.42990675949784868</v>
      </c>
      <c r="CT71" s="102">
        <v>2.6366792868279521</v>
      </c>
      <c r="CU71" s="102">
        <v>0.40345469153767965</v>
      </c>
      <c r="CV71" s="102">
        <v>2.8479023231670872</v>
      </c>
      <c r="CW71" s="102">
        <v>0.41100145958881573</v>
      </c>
      <c r="CX71" s="102">
        <v>0.57954260715798356</v>
      </c>
      <c r="CY71" s="102">
        <v>0.48430982675347589</v>
      </c>
      <c r="CZ71" s="102">
        <v>0.12309874828378366</v>
      </c>
    </row>
    <row r="72" spans="1:104">
      <c r="A72" s="81" t="s">
        <v>358</v>
      </c>
      <c r="C72" s="81" t="s">
        <v>369</v>
      </c>
      <c r="E72" s="81" t="s">
        <v>129</v>
      </c>
      <c r="F72" s="81" t="s">
        <v>130</v>
      </c>
      <c r="BE72" s="81">
        <v>48.74</v>
      </c>
      <c r="BF72" s="81">
        <v>1.9650000000000001</v>
      </c>
      <c r="BG72" s="81">
        <v>15.51</v>
      </c>
      <c r="BH72" s="81">
        <v>12.07</v>
      </c>
      <c r="BI72" s="81">
        <v>0.128</v>
      </c>
      <c r="BJ72" s="81">
        <v>6.32</v>
      </c>
      <c r="BK72" s="81">
        <v>9.8699999999999992</v>
      </c>
      <c r="BL72" s="81">
        <v>2.77</v>
      </c>
      <c r="BM72" s="81">
        <v>0.27</v>
      </c>
      <c r="BN72" s="81">
        <v>0.152</v>
      </c>
      <c r="BO72" s="81">
        <v>1.3</v>
      </c>
      <c r="BP72" s="102">
        <v>6.0217876732509215</v>
      </c>
      <c r="BQ72" s="102">
        <v>0.68613959401565017</v>
      </c>
      <c r="BR72" s="102">
        <v>39.356569762649123</v>
      </c>
      <c r="BS72" s="102">
        <v>342.28218449143503</v>
      </c>
      <c r="BT72" s="102">
        <v>206.38480061365689</v>
      </c>
      <c r="BU72" s="102">
        <v>43.91676626703569</v>
      </c>
      <c r="BV72" s="102">
        <v>73.453070071922923</v>
      </c>
      <c r="BW72" s="102">
        <v>122.34132470960498</v>
      </c>
      <c r="BX72" s="102">
        <v>89.267892402199081</v>
      </c>
      <c r="BY72" s="102">
        <v>21.473516061217563</v>
      </c>
      <c r="BZ72" s="102"/>
      <c r="CA72" s="102">
        <v>3.5269140161457186</v>
      </c>
      <c r="CB72" s="102">
        <v>206.18040820271591</v>
      </c>
      <c r="CC72" s="102">
        <v>27.245984532969203</v>
      </c>
      <c r="CD72" s="102">
        <v>115.85579490472632</v>
      </c>
      <c r="CE72" s="102">
        <v>6.3469536847169206</v>
      </c>
      <c r="CF72" s="102">
        <v>7.0203636015172807E-2</v>
      </c>
      <c r="CG72" s="102">
        <v>52.337677504206596</v>
      </c>
      <c r="CH72" s="102">
        <v>6.2155984945766081</v>
      </c>
      <c r="CI72" s="102">
        <v>16.575298789341097</v>
      </c>
      <c r="CJ72" s="102">
        <v>2.5717854982599189</v>
      </c>
      <c r="CK72" s="102">
        <v>12.730325702194413</v>
      </c>
      <c r="CL72" s="102">
        <v>4.2276875412644133</v>
      </c>
      <c r="CM72" s="102">
        <v>1.5943613019908323</v>
      </c>
      <c r="CN72" s="102">
        <v>4.9756725897710092</v>
      </c>
      <c r="CO72" s="102">
        <v>0.87223127432829695</v>
      </c>
      <c r="CP72" s="102">
        <v>5.2688347443773971</v>
      </c>
      <c r="CQ72" s="102">
        <v>1.0694189558010878</v>
      </c>
      <c r="CR72" s="102">
        <v>2.9032364033853262</v>
      </c>
      <c r="CS72" s="102">
        <v>0.4285752189544072</v>
      </c>
      <c r="CT72" s="102">
        <v>2.657162115682103</v>
      </c>
      <c r="CU72" s="102">
        <v>0.39742933805462044</v>
      </c>
      <c r="CV72" s="102">
        <v>3.1226581646789131</v>
      </c>
      <c r="CW72" s="102">
        <v>0.44197241700222228</v>
      </c>
      <c r="CX72" s="102">
        <v>0.65450637544235435</v>
      </c>
      <c r="CY72" s="102">
        <v>0.55522065061840165</v>
      </c>
      <c r="CZ72" s="102">
        <v>0.16133800985303265</v>
      </c>
    </row>
    <row r="73" spans="1:104">
      <c r="A73" s="81" t="s">
        <v>359</v>
      </c>
      <c r="C73" s="81" t="s">
        <v>370</v>
      </c>
      <c r="E73" s="81" t="s">
        <v>129</v>
      </c>
      <c r="F73" s="81" t="s">
        <v>130</v>
      </c>
      <c r="BE73" s="81">
        <v>47.97</v>
      </c>
      <c r="BF73" s="81">
        <v>2.496</v>
      </c>
      <c r="BG73" s="81">
        <v>12.85</v>
      </c>
      <c r="BH73" s="81">
        <v>15.55</v>
      </c>
      <c r="BI73" s="81">
        <v>0.21099999999999999</v>
      </c>
      <c r="BJ73" s="81">
        <v>7.14</v>
      </c>
      <c r="BK73" s="81">
        <v>10.08</v>
      </c>
      <c r="BL73" s="81">
        <v>2.8</v>
      </c>
      <c r="BM73" s="81">
        <v>0.15</v>
      </c>
      <c r="BN73" s="81">
        <v>0.20300000000000001</v>
      </c>
      <c r="BO73" s="81">
        <v>0.69</v>
      </c>
      <c r="BP73" s="102">
        <v>5.7025669933391585</v>
      </c>
      <c r="BQ73" s="102">
        <v>0.53465605862301102</v>
      </c>
      <c r="BR73" s="102">
        <v>43.901868094899463</v>
      </c>
      <c r="BS73" s="102">
        <v>421.44149409763202</v>
      </c>
      <c r="BT73" s="102">
        <v>103.98291943448035</v>
      </c>
      <c r="BU73" s="102">
        <v>52.740549060016221</v>
      </c>
      <c r="BV73" s="102">
        <v>64.081705839297712</v>
      </c>
      <c r="BW73" s="102">
        <v>148.665132187545</v>
      </c>
      <c r="BX73" s="102">
        <v>114.53091114272466</v>
      </c>
      <c r="BY73" s="102">
        <v>20.975110166434245</v>
      </c>
      <c r="BZ73" s="102"/>
      <c r="CA73" s="102">
        <v>0.76640866805790731</v>
      </c>
      <c r="CB73" s="102">
        <v>194.71340422635552</v>
      </c>
      <c r="CC73" s="102">
        <v>36.673820731251688</v>
      </c>
      <c r="CD73" s="102">
        <v>144.15649651661738</v>
      </c>
      <c r="CE73" s="102">
        <v>8.0540495066424072</v>
      </c>
      <c r="CF73" s="102">
        <v>9.5466414707097592E-3</v>
      </c>
      <c r="CG73" s="102">
        <v>32.644898047723771</v>
      </c>
      <c r="CH73" s="102">
        <v>7.9362638061076352</v>
      </c>
      <c r="CI73" s="102">
        <v>22.092186788673043</v>
      </c>
      <c r="CJ73" s="102">
        <v>3.2634342064051749</v>
      </c>
      <c r="CK73" s="102">
        <v>16.189556070354666</v>
      </c>
      <c r="CL73" s="102">
        <v>5.4372963385054485</v>
      </c>
      <c r="CM73" s="102">
        <v>1.9301758391652666</v>
      </c>
      <c r="CN73" s="102">
        <v>6.4542922310665167</v>
      </c>
      <c r="CO73" s="102">
        <v>1.1108265739626253</v>
      </c>
      <c r="CP73" s="102">
        <v>6.7446450807385299</v>
      </c>
      <c r="CQ73" s="102">
        <v>1.4205278878347904</v>
      </c>
      <c r="CR73" s="102">
        <v>3.8056822645244734</v>
      </c>
      <c r="CS73" s="102">
        <v>0.55847250583774422</v>
      </c>
      <c r="CT73" s="102">
        <v>3.368751726411205</v>
      </c>
      <c r="CU73" s="102">
        <v>0.50720797711968535</v>
      </c>
      <c r="CV73" s="102">
        <v>3.8613460659699088</v>
      </c>
      <c r="CW73" s="102">
        <v>0.56903244266756248</v>
      </c>
      <c r="CX73" s="102">
        <v>0.7798375990630374</v>
      </c>
      <c r="CY73" s="102">
        <v>0.66849231620960492</v>
      </c>
      <c r="CZ73" s="102">
        <v>0.21896280542470825</v>
      </c>
    </row>
    <row r="74" spans="1:104">
      <c r="A74" s="81" t="s">
        <v>376</v>
      </c>
      <c r="C74" s="81" t="s">
        <v>375</v>
      </c>
      <c r="E74" s="81" t="s">
        <v>129</v>
      </c>
      <c r="F74" s="81" t="s">
        <v>130</v>
      </c>
      <c r="BE74" s="81">
        <v>47.44</v>
      </c>
      <c r="BF74" s="81">
        <v>2.726</v>
      </c>
      <c r="BG74" s="81">
        <v>13.63</v>
      </c>
      <c r="BH74" s="81">
        <v>15.44</v>
      </c>
      <c r="BI74" s="81">
        <v>0.19600000000000001</v>
      </c>
      <c r="BJ74" s="81">
        <v>6.83</v>
      </c>
      <c r="BK74" s="81">
        <v>8.69</v>
      </c>
      <c r="BL74" s="81">
        <v>2.83</v>
      </c>
      <c r="BM74" s="81">
        <v>0.28999999999999998</v>
      </c>
      <c r="BN74" s="81">
        <v>0.32500000000000001</v>
      </c>
      <c r="BO74" s="81">
        <v>1.62</v>
      </c>
      <c r="BP74" s="102">
        <v>7.4789234877422812</v>
      </c>
      <c r="BQ74" s="102">
        <v>0.70087061342888413</v>
      </c>
      <c r="BR74" s="102">
        <v>44.946503853204909</v>
      </c>
      <c r="BS74" s="102">
        <v>462.78671916605117</v>
      </c>
      <c r="BT74" s="102">
        <v>226.53785852132268</v>
      </c>
      <c r="BU74" s="102">
        <v>56.578683452100229</v>
      </c>
      <c r="BV74" s="102">
        <v>68.099414637767097</v>
      </c>
      <c r="BW74" s="102">
        <v>55.899410860861067</v>
      </c>
      <c r="BX74" s="102">
        <v>151.64942179925322</v>
      </c>
      <c r="BY74" s="102">
        <v>22.408910227835054</v>
      </c>
      <c r="BZ74" s="102"/>
      <c r="CA74" s="102">
        <v>5.6221810191528814</v>
      </c>
      <c r="CB74" s="102">
        <v>185.32669504972253</v>
      </c>
      <c r="CC74" s="102">
        <v>43.667855404049817</v>
      </c>
      <c r="CD74" s="102">
        <v>173.49873727336217</v>
      </c>
      <c r="CE74" s="102">
        <v>9.748920969852751</v>
      </c>
      <c r="CF74" s="102">
        <v>0.13024849202324279</v>
      </c>
      <c r="CG74" s="102">
        <v>35.769846345578415</v>
      </c>
      <c r="CH74" s="102">
        <v>10.499364710996703</v>
      </c>
      <c r="CI74" s="102">
        <v>28.112826749934008</v>
      </c>
      <c r="CJ74" s="102">
        <v>4.0120819122722224</v>
      </c>
      <c r="CK74" s="102">
        <v>19.456098989342795</v>
      </c>
      <c r="CL74" s="102">
        <v>6.3310659195333914</v>
      </c>
      <c r="CM74" s="102">
        <v>2.1393274715511064</v>
      </c>
      <c r="CN74" s="102">
        <v>7.4901342921047247</v>
      </c>
      <c r="CO74" s="102">
        <v>1.2874591595424514</v>
      </c>
      <c r="CP74" s="102">
        <v>7.821454201483097</v>
      </c>
      <c r="CQ74" s="102">
        <v>1.6234444147505231</v>
      </c>
      <c r="CR74" s="102">
        <v>4.4864729509844148</v>
      </c>
      <c r="CS74" s="102">
        <v>0.65707587354908847</v>
      </c>
      <c r="CT74" s="102">
        <v>3.9539512461531738</v>
      </c>
      <c r="CU74" s="102">
        <v>0.61498654336742209</v>
      </c>
      <c r="CV74" s="102">
        <v>4.6430978187804133</v>
      </c>
      <c r="CW74" s="102">
        <v>0.67965736532598076</v>
      </c>
      <c r="CX74" s="102">
        <v>1.0542635745156941</v>
      </c>
      <c r="CY74" s="102">
        <v>0.89871270632613109</v>
      </c>
      <c r="CZ74" s="102">
        <v>0.28797155161770649</v>
      </c>
    </row>
    <row r="75" spans="1:104">
      <c r="A75" s="81" t="s">
        <v>360</v>
      </c>
      <c r="C75" s="81" t="s">
        <v>371</v>
      </c>
      <c r="E75" s="81" t="s">
        <v>129</v>
      </c>
      <c r="F75" s="81" t="s">
        <v>130</v>
      </c>
      <c r="BE75" s="81">
        <v>47.18</v>
      </c>
      <c r="BF75" s="81">
        <v>2.4500000000000002</v>
      </c>
      <c r="BG75" s="81">
        <v>12.77</v>
      </c>
      <c r="BH75" s="81">
        <v>15.2</v>
      </c>
      <c r="BI75" s="81">
        <v>0.19500000000000001</v>
      </c>
      <c r="BJ75" s="81">
        <v>7.36</v>
      </c>
      <c r="BK75" s="81">
        <v>9.7100000000000009</v>
      </c>
      <c r="BL75" s="81">
        <v>2.78</v>
      </c>
      <c r="BM75" s="81">
        <v>0.18</v>
      </c>
      <c r="BN75" s="81">
        <v>0.251</v>
      </c>
      <c r="BO75" s="81">
        <v>2.21</v>
      </c>
      <c r="BP75" s="102">
        <v>5.5317796558974086</v>
      </c>
      <c r="BQ75" s="102">
        <v>0.54755500123540635</v>
      </c>
      <c r="BR75" s="102">
        <v>40.362375278261609</v>
      </c>
      <c r="BS75" s="102">
        <v>422.02808602398267</v>
      </c>
      <c r="BT75" s="102">
        <v>201.27366198455871</v>
      </c>
      <c r="BU75" s="102">
        <v>53.876512121676015</v>
      </c>
      <c r="BV75" s="102">
        <v>71.15395592217449</v>
      </c>
      <c r="BW75" s="102">
        <v>51.860902728270155</v>
      </c>
      <c r="BX75" s="102">
        <v>111.84243402268316</v>
      </c>
      <c r="BY75" s="102">
        <v>20.380584423523313</v>
      </c>
      <c r="BZ75" s="102"/>
      <c r="CA75" s="102">
        <v>0.91440498020484928</v>
      </c>
      <c r="CB75" s="102">
        <v>183.94356736556225</v>
      </c>
      <c r="CC75" s="102">
        <v>39.489922189622966</v>
      </c>
      <c r="CD75" s="102">
        <v>157.06073219103712</v>
      </c>
      <c r="CE75" s="102">
        <v>8.7428943934644128</v>
      </c>
      <c r="CF75" s="102">
        <v>9.4117146194727299E-3</v>
      </c>
      <c r="CG75" s="102">
        <v>34.316126889518188</v>
      </c>
      <c r="CH75" s="102">
        <v>9.3431968580999492</v>
      </c>
      <c r="CI75" s="102">
        <v>25.047635386109075</v>
      </c>
      <c r="CJ75" s="102">
        <v>3.6561063553200124</v>
      </c>
      <c r="CK75" s="102">
        <v>17.562317361312992</v>
      </c>
      <c r="CL75" s="102">
        <v>5.6820851270344761</v>
      </c>
      <c r="CM75" s="102">
        <v>1.9493541662176022</v>
      </c>
      <c r="CN75" s="102">
        <v>6.8036712501860821</v>
      </c>
      <c r="CO75" s="102">
        <v>1.1782184790648171</v>
      </c>
      <c r="CP75" s="102">
        <v>7.1267612695005438</v>
      </c>
      <c r="CQ75" s="102">
        <v>1.4916598013597422</v>
      </c>
      <c r="CR75" s="102">
        <v>4.0899765825099585</v>
      </c>
      <c r="CS75" s="102">
        <v>0.60274143110184997</v>
      </c>
      <c r="CT75" s="102">
        <v>3.6567835990240125</v>
      </c>
      <c r="CU75" s="102">
        <v>0.55004537768997419</v>
      </c>
      <c r="CV75" s="102">
        <v>4.150169377983592</v>
      </c>
      <c r="CW75" s="102">
        <v>0.61291734600533365</v>
      </c>
      <c r="CX75" s="102">
        <v>0.86549354734226758</v>
      </c>
      <c r="CY75" s="102">
        <v>0.79881651696784106</v>
      </c>
      <c r="CZ75" s="102">
        <v>0.23674868470788846</v>
      </c>
    </row>
    <row r="76" spans="1:104">
      <c r="A76" s="81" t="s">
        <v>361</v>
      </c>
      <c r="C76" s="81" t="s">
        <v>372</v>
      </c>
      <c r="E76" s="81" t="s">
        <v>129</v>
      </c>
      <c r="F76" s="81" t="s">
        <v>130</v>
      </c>
      <c r="BE76" s="81">
        <v>47.19</v>
      </c>
      <c r="BF76" s="81">
        <v>2.33</v>
      </c>
      <c r="BG76" s="81">
        <v>14.7</v>
      </c>
      <c r="BH76" s="81">
        <v>14.98</v>
      </c>
      <c r="BI76" s="81">
        <v>0.14099999999999999</v>
      </c>
      <c r="BJ76" s="81">
        <v>6.45</v>
      </c>
      <c r="BK76" s="81">
        <v>9.24</v>
      </c>
      <c r="BL76" s="81">
        <v>2.92</v>
      </c>
      <c r="BM76" s="81">
        <v>0.22</v>
      </c>
      <c r="BN76" s="81">
        <v>0.23100000000000001</v>
      </c>
      <c r="BO76" s="81">
        <v>1.5</v>
      </c>
      <c r="BP76" s="102">
        <v>6.0625383043935956</v>
      </c>
      <c r="BQ76" s="102">
        <v>0.98491291489470867</v>
      </c>
      <c r="BR76" s="102">
        <v>42.285347269648348</v>
      </c>
      <c r="BS76" s="102">
        <v>394.13430334859731</v>
      </c>
      <c r="BT76" s="102">
        <v>143.62453893750697</v>
      </c>
      <c r="BU76" s="102">
        <v>47.046829337653989</v>
      </c>
      <c r="BV76" s="102">
        <v>65.753514545288354</v>
      </c>
      <c r="BW76" s="102">
        <v>94.785310136929127</v>
      </c>
      <c r="BX76" s="102">
        <v>93.892615810926571</v>
      </c>
      <c r="BY76" s="102">
        <v>21.354614253819726</v>
      </c>
      <c r="BZ76" s="102"/>
      <c r="CA76" s="102">
        <v>2.2779033564975664</v>
      </c>
      <c r="CB76" s="102">
        <v>210.00825618008997</v>
      </c>
      <c r="CC76" s="102">
        <v>34.246994640174506</v>
      </c>
      <c r="CD76" s="102">
        <v>131.73673241870338</v>
      </c>
      <c r="CE76" s="102">
        <v>8.0593509206724416</v>
      </c>
      <c r="CF76" s="102">
        <v>3.3425303387498551E-2</v>
      </c>
      <c r="CG76" s="102">
        <v>34.091535638829981</v>
      </c>
      <c r="CH76" s="102">
        <v>8.2527141370743688</v>
      </c>
      <c r="CI76" s="102">
        <v>21.552928637290396</v>
      </c>
      <c r="CJ76" s="102">
        <v>3.1512538492302538</v>
      </c>
      <c r="CK76" s="102">
        <v>14.84960800328726</v>
      </c>
      <c r="CL76" s="102">
        <v>4.8663248250520565</v>
      </c>
      <c r="CM76" s="102">
        <v>1.7664097460143151</v>
      </c>
      <c r="CN76" s="102">
        <v>5.7809221561949267</v>
      </c>
      <c r="CO76" s="102">
        <v>1.0077491645639558</v>
      </c>
      <c r="CP76" s="102">
        <v>6.2270855274598027</v>
      </c>
      <c r="CQ76" s="102">
        <v>1.3116930986328685</v>
      </c>
      <c r="CR76" s="102">
        <v>3.5788731746989075</v>
      </c>
      <c r="CS76" s="102">
        <v>0.54285049044799816</v>
      </c>
      <c r="CT76" s="102">
        <v>3.3363539712645047</v>
      </c>
      <c r="CU76" s="102">
        <v>0.51112926545323878</v>
      </c>
      <c r="CV76" s="102">
        <v>3.5678164623706063</v>
      </c>
      <c r="CW76" s="102">
        <v>0.5634108790026483</v>
      </c>
      <c r="CX76" s="102">
        <v>0.85744930327156355</v>
      </c>
      <c r="CY76" s="102">
        <v>0.71115946541040032</v>
      </c>
      <c r="CZ76" s="102">
        <v>0.27985264606404175</v>
      </c>
    </row>
    <row r="77" spans="1:104">
      <c r="A77" s="81" t="s">
        <v>362</v>
      </c>
      <c r="C77" s="81" t="s">
        <v>373</v>
      </c>
      <c r="E77" s="81" t="s">
        <v>129</v>
      </c>
      <c r="F77" s="81" t="s">
        <v>130</v>
      </c>
      <c r="BE77" s="81">
        <v>47.9</v>
      </c>
      <c r="BF77" s="81">
        <v>2.4609999999999999</v>
      </c>
      <c r="BG77" s="81">
        <v>13.28</v>
      </c>
      <c r="BH77" s="81">
        <v>15.6</v>
      </c>
      <c r="BI77" s="81">
        <v>0.17699999999999999</v>
      </c>
      <c r="BJ77" s="81">
        <v>6.8</v>
      </c>
      <c r="BK77" s="81">
        <v>9.93</v>
      </c>
      <c r="BL77" s="81">
        <v>2.85</v>
      </c>
      <c r="BM77" s="81">
        <v>0.15</v>
      </c>
      <c r="BN77" s="81">
        <v>0.23300000000000001</v>
      </c>
      <c r="BO77" s="81">
        <v>0.8</v>
      </c>
      <c r="BP77" s="102">
        <v>6.5778555562913441</v>
      </c>
      <c r="BQ77" s="102">
        <v>0.60855518156569133</v>
      </c>
      <c r="BR77" s="102">
        <v>43.905150245451921</v>
      </c>
      <c r="BS77" s="102">
        <v>411.15424687322451</v>
      </c>
      <c r="BT77" s="102">
        <v>129.0202910398142</v>
      </c>
      <c r="BU77" s="102">
        <v>48.651765538505238</v>
      </c>
      <c r="BV77" s="102">
        <v>58.735815135819401</v>
      </c>
      <c r="BW77" s="102">
        <v>184.61858293837898</v>
      </c>
      <c r="BX77" s="102">
        <v>97.299662554218969</v>
      </c>
      <c r="BY77" s="102">
        <v>20.549259169795921</v>
      </c>
      <c r="BZ77" s="102"/>
      <c r="CA77" s="102">
        <v>0.84488686166830473</v>
      </c>
      <c r="CB77" s="102">
        <v>200.3096362630958</v>
      </c>
      <c r="CC77" s="102">
        <v>36.900937200180238</v>
      </c>
      <c r="CD77" s="102">
        <v>140.03010918853562</v>
      </c>
      <c r="CE77" s="102">
        <v>8.5709869739961437</v>
      </c>
      <c r="CF77" s="102">
        <v>6.4984078993209774E-3</v>
      </c>
      <c r="CG77" s="102">
        <v>36.862683071278134</v>
      </c>
      <c r="CH77" s="102">
        <v>8.6828083971980394</v>
      </c>
      <c r="CI77" s="102">
        <v>22.898850723339969</v>
      </c>
      <c r="CJ77" s="102">
        <v>3.329728501222335</v>
      </c>
      <c r="CK77" s="102">
        <v>15.931299057805958</v>
      </c>
      <c r="CL77" s="102">
        <v>5.2206621484330489</v>
      </c>
      <c r="CM77" s="102">
        <v>1.8520588817972257</v>
      </c>
      <c r="CN77" s="102">
        <v>6.1784147391349107</v>
      </c>
      <c r="CO77" s="102">
        <v>1.0891104129927531</v>
      </c>
      <c r="CP77" s="102">
        <v>6.7924600617695496</v>
      </c>
      <c r="CQ77" s="102">
        <v>1.4096542306298496</v>
      </c>
      <c r="CR77" s="102">
        <v>3.8159603599586442</v>
      </c>
      <c r="CS77" s="102">
        <v>0.5712388325955039</v>
      </c>
      <c r="CT77" s="102">
        <v>3.519915898119117</v>
      </c>
      <c r="CU77" s="102">
        <v>0.53827824671131042</v>
      </c>
      <c r="CV77" s="102">
        <v>3.7772654099017564</v>
      </c>
      <c r="CW77" s="102">
        <v>0.58931066914848118</v>
      </c>
      <c r="CX77" s="102">
        <v>0.86709983442791427</v>
      </c>
      <c r="CY77" s="102">
        <v>0.73916453539040139</v>
      </c>
      <c r="CZ77" s="102">
        <v>0.26346067931066181</v>
      </c>
    </row>
    <row r="78" spans="1:104">
      <c r="A78" s="81" t="s">
        <v>363</v>
      </c>
      <c r="C78" s="81" t="s">
        <v>374</v>
      </c>
      <c r="E78" s="81" t="s">
        <v>129</v>
      </c>
      <c r="F78" s="81" t="s">
        <v>130</v>
      </c>
      <c r="BE78" s="81">
        <v>48.56</v>
      </c>
      <c r="BF78" s="81">
        <v>2.5430000000000001</v>
      </c>
      <c r="BG78" s="81">
        <v>13.64</v>
      </c>
      <c r="BH78" s="81">
        <v>15.3</v>
      </c>
      <c r="BI78" s="81">
        <v>0.218</v>
      </c>
      <c r="BJ78" s="81">
        <v>6.16</v>
      </c>
      <c r="BK78" s="81">
        <v>8.82</v>
      </c>
      <c r="BL78" s="81">
        <v>2.99</v>
      </c>
      <c r="BM78" s="81">
        <v>0.49</v>
      </c>
      <c r="BN78" s="81">
        <v>0.22700000000000001</v>
      </c>
      <c r="BO78" s="81">
        <v>0.88</v>
      </c>
      <c r="BP78" s="102">
        <v>6.3365855289041813</v>
      </c>
      <c r="BQ78" s="102">
        <v>0.78991030104475612</v>
      </c>
      <c r="BR78" s="102">
        <v>40.493930954458726</v>
      </c>
      <c r="BS78" s="102">
        <v>396.78810791747406</v>
      </c>
      <c r="BT78" s="102">
        <v>53.637682728622593</v>
      </c>
      <c r="BU78" s="102">
        <v>48.152422662391238</v>
      </c>
      <c r="BV78" s="102">
        <v>49.446534734915062</v>
      </c>
      <c r="BW78" s="102">
        <v>150.791754627372</v>
      </c>
      <c r="BX78" s="102">
        <v>134.45806378691842</v>
      </c>
      <c r="BY78" s="102">
        <v>21.909258059658317</v>
      </c>
      <c r="BZ78" s="102"/>
      <c r="CA78" s="102">
        <v>11.758955533692786</v>
      </c>
      <c r="CB78" s="102">
        <v>201.64350581837823</v>
      </c>
      <c r="CC78" s="102">
        <v>35.984924519629793</v>
      </c>
      <c r="CD78" s="102">
        <v>149.71423359995043</v>
      </c>
      <c r="CE78" s="102">
        <v>8.8129081865888068</v>
      </c>
      <c r="CF78" s="102">
        <v>0.31362252556147802</v>
      </c>
      <c r="CG78" s="102">
        <v>57.260342041762584</v>
      </c>
      <c r="CH78" s="102">
        <v>8.8091878983915226</v>
      </c>
      <c r="CI78" s="102">
        <v>23.567592249183893</v>
      </c>
      <c r="CJ78" s="102">
        <v>3.5204745506967412</v>
      </c>
      <c r="CK78" s="102">
        <v>16.897739929883485</v>
      </c>
      <c r="CL78" s="102">
        <v>5.5454261212475728</v>
      </c>
      <c r="CM78" s="102">
        <v>1.9335939394800246</v>
      </c>
      <c r="CN78" s="102">
        <v>6.5060320429704932</v>
      </c>
      <c r="CO78" s="102">
        <v>1.1197646263417234</v>
      </c>
      <c r="CP78" s="102">
        <v>6.8792240020834718</v>
      </c>
      <c r="CQ78" s="102">
        <v>1.4330546301891185</v>
      </c>
      <c r="CR78" s="102">
        <v>3.9141424635612707</v>
      </c>
      <c r="CS78" s="102">
        <v>0.58512910171221399</v>
      </c>
      <c r="CT78" s="102">
        <v>3.5966986750959666</v>
      </c>
      <c r="CU78" s="102">
        <v>0.54714784117198079</v>
      </c>
      <c r="CV78" s="102">
        <v>4.0343853527402977</v>
      </c>
      <c r="CW78" s="102">
        <v>0.59415119340819567</v>
      </c>
      <c r="CX78" s="102">
        <v>0.98183837834535159</v>
      </c>
      <c r="CY78" s="102">
        <v>0.73625194823209628</v>
      </c>
      <c r="CZ78" s="102">
        <v>0.22204876753980995</v>
      </c>
    </row>
    <row r="79" spans="1:104">
      <c r="A79" s="81" t="s">
        <v>288</v>
      </c>
      <c r="C79" s="81" t="s">
        <v>403</v>
      </c>
      <c r="E79" s="81" t="s">
        <v>129</v>
      </c>
      <c r="F79" s="81" t="s">
        <v>130</v>
      </c>
      <c r="BE79" s="81">
        <v>48.88</v>
      </c>
      <c r="BF79" s="81">
        <v>2.7570000000000001</v>
      </c>
      <c r="BG79" s="81">
        <v>16.239999999999998</v>
      </c>
      <c r="BH79" s="81">
        <v>7.95</v>
      </c>
      <c r="BI79" s="81">
        <v>0.189</v>
      </c>
      <c r="BJ79" s="81">
        <v>4.58</v>
      </c>
      <c r="BK79" s="81">
        <v>12.98</v>
      </c>
      <c r="BL79" s="81">
        <v>3.14</v>
      </c>
      <c r="BM79" s="81">
        <v>1.23</v>
      </c>
      <c r="BN79" s="81">
        <v>0.38500000000000001</v>
      </c>
      <c r="BO79" s="81">
        <v>1.03</v>
      </c>
      <c r="BP79" s="102">
        <v>6.0408208504059679</v>
      </c>
      <c r="BQ79" s="102">
        <v>0.7663249161352248</v>
      </c>
      <c r="BR79" s="102">
        <v>47.746889145337619</v>
      </c>
      <c r="BS79" s="102">
        <v>429.49408216367158</v>
      </c>
      <c r="BT79" s="102">
        <v>248.44562512529944</v>
      </c>
      <c r="BU79" s="102">
        <v>26.859590879618985</v>
      </c>
      <c r="BV79" s="102">
        <v>41.527086605122513</v>
      </c>
      <c r="BW79" s="102">
        <v>2291.2903232938515</v>
      </c>
      <c r="BX79" s="102">
        <v>157.23295668318849</v>
      </c>
      <c r="BY79" s="102">
        <v>24.119212849727568</v>
      </c>
      <c r="BZ79" s="102"/>
      <c r="CA79" s="102">
        <v>9.4436278064135752</v>
      </c>
      <c r="CB79" s="102">
        <v>294.00790396039537</v>
      </c>
      <c r="CC79" s="102">
        <v>45.432818525098241</v>
      </c>
      <c r="CD79" s="102">
        <v>181.91527145657099</v>
      </c>
      <c r="CE79" s="102">
        <v>15.627286488399587</v>
      </c>
      <c r="CF79" s="102">
        <v>2.4713628658512374E-2</v>
      </c>
      <c r="CG79" s="102">
        <v>129.05773689611698</v>
      </c>
      <c r="CH79" s="102">
        <v>16.025986233356043</v>
      </c>
      <c r="CI79" s="102">
        <v>38.071784417862638</v>
      </c>
      <c r="CJ79" s="102">
        <v>5.1622539204720166</v>
      </c>
      <c r="CK79" s="102">
        <v>22.955243485063161</v>
      </c>
      <c r="CL79" s="102">
        <v>6.6716712067898785</v>
      </c>
      <c r="CM79" s="102">
        <v>2.370641914499839</v>
      </c>
      <c r="CN79" s="102">
        <v>7.6835163174372481</v>
      </c>
      <c r="CO79" s="102">
        <v>1.3076167394600342</v>
      </c>
      <c r="CP79" s="102">
        <v>7.8289169163925791</v>
      </c>
      <c r="CQ79" s="102">
        <v>1.6444293109640864</v>
      </c>
      <c r="CR79" s="102">
        <v>4.5250396589725712</v>
      </c>
      <c r="CS79" s="102">
        <v>0.67028368625271351</v>
      </c>
      <c r="CT79" s="102">
        <v>3.9998601963706242</v>
      </c>
      <c r="CU79" s="102">
        <v>0.62269208121687547</v>
      </c>
      <c r="CV79" s="102">
        <v>5.1898352491787838</v>
      </c>
      <c r="CW79" s="102">
        <v>1.10684700652802</v>
      </c>
      <c r="CX79" s="102">
        <v>1.5252656541862009</v>
      </c>
      <c r="CY79" s="102">
        <v>1.7614205461399424</v>
      </c>
      <c r="CZ79" s="102">
        <v>0.47329915372810721</v>
      </c>
    </row>
    <row r="80" spans="1:104">
      <c r="A80" s="81" t="s">
        <v>377</v>
      </c>
      <c r="C80" s="81" t="s">
        <v>404</v>
      </c>
      <c r="E80" s="81" t="s">
        <v>129</v>
      </c>
      <c r="F80" s="81" t="s">
        <v>130</v>
      </c>
      <c r="BE80" s="81">
        <v>41.14</v>
      </c>
      <c r="BF80" s="81">
        <v>2.6720000000000002</v>
      </c>
      <c r="BG80" s="81">
        <v>14.31</v>
      </c>
      <c r="BH80" s="81">
        <v>7.44</v>
      </c>
      <c r="BI80" s="81">
        <v>0.73299999999999998</v>
      </c>
      <c r="BJ80" s="81">
        <v>3.76</v>
      </c>
      <c r="BK80" s="81">
        <v>18.68</v>
      </c>
      <c r="BL80" s="81">
        <v>2.61</v>
      </c>
      <c r="BM80" s="81">
        <v>0.67</v>
      </c>
      <c r="BN80" s="81">
        <v>0.31900000000000001</v>
      </c>
      <c r="BO80" s="81">
        <v>7.6</v>
      </c>
      <c r="BP80" s="102">
        <v>5.0169052151175535</v>
      </c>
      <c r="BQ80" s="102">
        <v>0.77285003350835912</v>
      </c>
      <c r="BR80" s="102">
        <v>44.327376412341394</v>
      </c>
      <c r="BS80" s="102">
        <v>416.32541970256261</v>
      </c>
      <c r="BT80" s="102">
        <v>235.09088065676283</v>
      </c>
      <c r="BU80" s="102">
        <v>102.16335783286317</v>
      </c>
      <c r="BV80" s="102">
        <v>145.42955388448237</v>
      </c>
      <c r="BW80" s="102">
        <v>205.60656082738996</v>
      </c>
      <c r="BX80" s="102">
        <v>112.76943470769166</v>
      </c>
      <c r="BY80" s="102">
        <v>21.415385646946117</v>
      </c>
      <c r="BZ80" s="102"/>
      <c r="CA80" s="102">
        <v>7.9684356131071761</v>
      </c>
      <c r="CB80" s="102">
        <v>294.21589252657861</v>
      </c>
      <c r="CC80" s="102">
        <v>44.673677406389679</v>
      </c>
      <c r="CD80" s="102">
        <v>181.12201095799568</v>
      </c>
      <c r="CE80" s="102">
        <v>15.539541414127219</v>
      </c>
      <c r="CF80" s="102">
        <v>3.6997973587644978E-2</v>
      </c>
      <c r="CG80" s="102">
        <v>118.26282680141047</v>
      </c>
      <c r="CH80" s="102">
        <v>15.233557378665289</v>
      </c>
      <c r="CI80" s="102">
        <v>35.982330976848061</v>
      </c>
      <c r="CJ80" s="102">
        <v>4.8732233528090445</v>
      </c>
      <c r="CK80" s="102">
        <v>22.204988992363383</v>
      </c>
      <c r="CL80" s="102">
        <v>6.421268058084852</v>
      </c>
      <c r="CM80" s="102">
        <v>2.1760140042370786</v>
      </c>
      <c r="CN80" s="102">
        <v>7.3486619224712086</v>
      </c>
      <c r="CO80" s="102">
        <v>1.2295263862137886</v>
      </c>
      <c r="CP80" s="102">
        <v>7.5148269792846403</v>
      </c>
      <c r="CQ80" s="102">
        <v>1.5640165832624777</v>
      </c>
      <c r="CR80" s="102">
        <v>4.4589019709392472</v>
      </c>
      <c r="CS80" s="102">
        <v>0.65617724113628551</v>
      </c>
      <c r="CT80" s="102">
        <v>4.0770000902537662</v>
      </c>
      <c r="CU80" s="102">
        <v>0.63672354385469099</v>
      </c>
      <c r="CV80" s="102">
        <v>4.9051199475438194</v>
      </c>
      <c r="CW80" s="102">
        <v>1.0446456370395807</v>
      </c>
      <c r="CX80" s="102">
        <v>1.6643392285979306</v>
      </c>
      <c r="CY80" s="102">
        <v>1.6505228087463339</v>
      </c>
      <c r="CZ80" s="102">
        <v>2.4465841414107703</v>
      </c>
    </row>
    <row r="81" spans="1:104">
      <c r="A81" s="81" t="s">
        <v>378</v>
      </c>
      <c r="C81" s="81" t="s">
        <v>405</v>
      </c>
      <c r="E81" s="81" t="s">
        <v>129</v>
      </c>
      <c r="F81" s="81" t="s">
        <v>130</v>
      </c>
      <c r="BE81" s="81">
        <v>49.04</v>
      </c>
      <c r="BF81" s="81">
        <v>2.625</v>
      </c>
      <c r="BG81" s="81">
        <v>13.93</v>
      </c>
      <c r="BH81" s="81">
        <v>13.3</v>
      </c>
      <c r="BI81" s="81">
        <v>0.16900000000000001</v>
      </c>
      <c r="BJ81" s="81">
        <v>6.54</v>
      </c>
      <c r="BK81" s="81">
        <v>10.74</v>
      </c>
      <c r="BL81" s="81">
        <v>2.71</v>
      </c>
      <c r="BM81" s="81">
        <v>0.19</v>
      </c>
      <c r="BN81" s="81">
        <v>0.254</v>
      </c>
      <c r="BO81" s="81">
        <v>0.18</v>
      </c>
      <c r="BP81" s="102">
        <v>6.2406804180259634</v>
      </c>
      <c r="BQ81" s="102">
        <v>0.94002224200148532</v>
      </c>
      <c r="BR81" s="102">
        <v>42.60159998734752</v>
      </c>
      <c r="BS81" s="102">
        <v>398.5396280772743</v>
      </c>
      <c r="BT81" s="102">
        <v>180.35122696950714</v>
      </c>
      <c r="BU81" s="102">
        <v>52.285084798610974</v>
      </c>
      <c r="BV81" s="102">
        <v>78.034303935454204</v>
      </c>
      <c r="BW81" s="102">
        <v>196.17421486505691</v>
      </c>
      <c r="BX81" s="102">
        <v>130.42814909543435</v>
      </c>
      <c r="BY81" s="102">
        <v>21.514916345225114</v>
      </c>
      <c r="BZ81" s="102"/>
      <c r="CA81" s="102">
        <v>0.9052130150326021</v>
      </c>
      <c r="CB81" s="102">
        <v>253.16516906198171</v>
      </c>
      <c r="CC81" s="102">
        <v>37.151213671363038</v>
      </c>
      <c r="CD81" s="102">
        <v>185.92966407885808</v>
      </c>
      <c r="CE81" s="102">
        <v>15.136954061412359</v>
      </c>
      <c r="CF81" s="102">
        <v>5.7594367783785506E-3</v>
      </c>
      <c r="CG81" s="102">
        <v>82.743722776754296</v>
      </c>
      <c r="CH81" s="102">
        <v>14.768385525771324</v>
      </c>
      <c r="CI81" s="102">
        <v>36.296055742100855</v>
      </c>
      <c r="CJ81" s="102">
        <v>4.9675598382102999</v>
      </c>
      <c r="CK81" s="102">
        <v>22.100096291778122</v>
      </c>
      <c r="CL81" s="102">
        <v>6.4700584493560243</v>
      </c>
      <c r="CM81" s="102">
        <v>2.1236725187515977</v>
      </c>
      <c r="CN81" s="102">
        <v>7.1753201590714539</v>
      </c>
      <c r="CO81" s="102">
        <v>1.1855330918442752</v>
      </c>
      <c r="CP81" s="102">
        <v>7.143381470643857</v>
      </c>
      <c r="CQ81" s="102">
        <v>1.4632976616705444</v>
      </c>
      <c r="CR81" s="102">
        <v>3.933884496791082</v>
      </c>
      <c r="CS81" s="102">
        <v>0.59389004468887729</v>
      </c>
      <c r="CT81" s="102">
        <v>3.6204945931257826</v>
      </c>
      <c r="CU81" s="102">
        <v>0.55182846017452958</v>
      </c>
      <c r="CV81" s="102">
        <v>4.8785490357056576</v>
      </c>
      <c r="CW81" s="102">
        <v>1.0336679789246068</v>
      </c>
      <c r="CX81" s="102">
        <v>1.6379766227734369</v>
      </c>
      <c r="CY81" s="102">
        <v>1.682660648264326</v>
      </c>
      <c r="CZ81" s="102">
        <v>0.47199534898342588</v>
      </c>
    </row>
    <row r="82" spans="1:104">
      <c r="A82" s="81" t="s">
        <v>379</v>
      </c>
      <c r="C82" s="81" t="s">
        <v>406</v>
      </c>
      <c r="E82" s="81" t="s">
        <v>129</v>
      </c>
      <c r="F82" s="81" t="s">
        <v>130</v>
      </c>
      <c r="BE82" s="81">
        <v>47.9</v>
      </c>
      <c r="BF82" s="81">
        <v>1.363</v>
      </c>
      <c r="BG82" s="81">
        <v>14.7</v>
      </c>
      <c r="BH82" s="81">
        <v>12.01</v>
      </c>
      <c r="BI82" s="81">
        <v>0.16</v>
      </c>
      <c r="BJ82" s="81">
        <v>8.49</v>
      </c>
      <c r="BK82" s="81">
        <v>10.29</v>
      </c>
      <c r="BL82" s="81">
        <v>2.13</v>
      </c>
      <c r="BM82" s="81">
        <v>0.47</v>
      </c>
      <c r="BN82" s="81">
        <v>0.10299999999999999</v>
      </c>
      <c r="BO82" s="81">
        <v>2.2200000000000002</v>
      </c>
      <c r="BP82" s="102">
        <v>15.623305048671265</v>
      </c>
      <c r="BQ82" s="102">
        <v>0.44928114478818815</v>
      </c>
      <c r="BR82" s="102">
        <v>37.397788737707899</v>
      </c>
      <c r="BS82" s="102">
        <v>287.76143906001789</v>
      </c>
      <c r="BT82" s="102">
        <v>330.07437206831787</v>
      </c>
      <c r="BU82" s="102">
        <v>47.464698772784956</v>
      </c>
      <c r="BV82" s="102">
        <v>112.43048163248264</v>
      </c>
      <c r="BW82" s="102">
        <v>59.313838536711579</v>
      </c>
      <c r="BX82" s="102">
        <v>77.280930376094005</v>
      </c>
      <c r="BY82" s="102">
        <v>17.262055578975982</v>
      </c>
      <c r="BZ82" s="102"/>
      <c r="CA82" s="102">
        <v>8.5494636097906493</v>
      </c>
      <c r="CB82" s="102">
        <v>151.85298784477044</v>
      </c>
      <c r="CC82" s="102">
        <v>22.399821960251295</v>
      </c>
      <c r="CD82" s="102">
        <v>76.393729323468918</v>
      </c>
      <c r="CE82" s="102">
        <v>5.4845318386545472</v>
      </c>
      <c r="CF82" s="102">
        <v>0.18423119030311566</v>
      </c>
      <c r="CG82" s="102">
        <v>25.931982090289388</v>
      </c>
      <c r="CH82" s="102">
        <v>5.919183309510073</v>
      </c>
      <c r="CI82" s="102">
        <v>14.75587497204506</v>
      </c>
      <c r="CJ82" s="102">
        <v>2.13824855412508</v>
      </c>
      <c r="CK82" s="102">
        <v>9.9276202008169534</v>
      </c>
      <c r="CL82" s="102">
        <v>3.171552832144183</v>
      </c>
      <c r="CM82" s="102">
        <v>1.2243808512851597</v>
      </c>
      <c r="CN82" s="102">
        <v>3.750376123606618</v>
      </c>
      <c r="CO82" s="102">
        <v>0.64013496978031281</v>
      </c>
      <c r="CP82" s="102">
        <v>3.926273433698888</v>
      </c>
      <c r="CQ82" s="102">
        <v>0.82084237141963257</v>
      </c>
      <c r="CR82" s="102">
        <v>2.2246448647178108</v>
      </c>
      <c r="CS82" s="102">
        <v>0.32497150459509788</v>
      </c>
      <c r="CT82" s="102">
        <v>1.9845469815564718</v>
      </c>
      <c r="CU82" s="102">
        <v>0.30297511740084504</v>
      </c>
      <c r="CV82" s="102">
        <v>2.068497942093714</v>
      </c>
      <c r="CW82" s="102">
        <v>0.38345188226877325</v>
      </c>
      <c r="CX82" s="102">
        <v>0.50639523360316607</v>
      </c>
      <c r="CY82" s="102">
        <v>0.46146863246242587</v>
      </c>
      <c r="CZ82" s="102">
        <v>8.8715556562338052E-2</v>
      </c>
    </row>
    <row r="83" spans="1:104">
      <c r="A83" s="81" t="s">
        <v>380</v>
      </c>
      <c r="C83" s="81" t="s">
        <v>407</v>
      </c>
      <c r="E83" s="81" t="s">
        <v>129</v>
      </c>
      <c r="F83" s="81" t="s">
        <v>130</v>
      </c>
      <c r="BE83" s="81">
        <v>48.42</v>
      </c>
      <c r="BF83" s="81">
        <v>2.3719999999999999</v>
      </c>
      <c r="BG83" s="81">
        <v>13.44</v>
      </c>
      <c r="BH83" s="81">
        <v>14.87</v>
      </c>
      <c r="BI83" s="81">
        <v>0.187</v>
      </c>
      <c r="BJ83" s="81">
        <v>6.51</v>
      </c>
      <c r="BK83" s="81">
        <v>10.09</v>
      </c>
      <c r="BL83" s="81">
        <v>2.92</v>
      </c>
      <c r="BM83" s="81">
        <v>0.14000000000000001</v>
      </c>
      <c r="BN83" s="81">
        <v>0.20499999999999999</v>
      </c>
      <c r="BO83" s="81">
        <v>1.67</v>
      </c>
      <c r="BP83" s="102">
        <v>5.3982305033393523</v>
      </c>
      <c r="BQ83" s="102">
        <v>0.73636067976652664</v>
      </c>
      <c r="BR83" s="102">
        <v>43.63958092602531</v>
      </c>
      <c r="BS83" s="102">
        <v>426.10018542814259</v>
      </c>
      <c r="BT83" s="102">
        <v>39.254531392956963</v>
      </c>
      <c r="BU83" s="102">
        <v>52.525870772791279</v>
      </c>
      <c r="BV83" s="102">
        <v>60.315623499541388</v>
      </c>
      <c r="BW83" s="102">
        <v>239.47812872526677</v>
      </c>
      <c r="BX83" s="102">
        <v>129.37531538888655</v>
      </c>
      <c r="BY83" s="102">
        <v>21.462637940386742</v>
      </c>
      <c r="BZ83" s="102"/>
      <c r="CA83" s="102">
        <v>0.71762401453023494</v>
      </c>
      <c r="CB83" s="102">
        <v>249.73781440504845</v>
      </c>
      <c r="CC83" s="102">
        <v>34.617772224334061</v>
      </c>
      <c r="CD83" s="102">
        <v>148.85261902301539</v>
      </c>
      <c r="CE83" s="102">
        <v>10.734093191623097</v>
      </c>
      <c r="CF83" s="102">
        <v>5.9940822609578902E-3</v>
      </c>
      <c r="CG83" s="102">
        <v>43.135750892922218</v>
      </c>
      <c r="CH83" s="102">
        <v>10.867380585969785</v>
      </c>
      <c r="CI83" s="102">
        <v>26.934714209285289</v>
      </c>
      <c r="CJ83" s="102">
        <v>3.8626873335604617</v>
      </c>
      <c r="CK83" s="102">
        <v>17.788055292477829</v>
      </c>
      <c r="CL83" s="102">
        <v>5.2499069816991533</v>
      </c>
      <c r="CM83" s="102">
        <v>1.8811028984991898</v>
      </c>
      <c r="CN83" s="102">
        <v>6.1693187842246022</v>
      </c>
      <c r="CO83" s="102">
        <v>1.0573632984240744</v>
      </c>
      <c r="CP83" s="102">
        <v>6.3342868867402666</v>
      </c>
      <c r="CQ83" s="102">
        <v>1.3211320918913321</v>
      </c>
      <c r="CR83" s="102">
        <v>3.6777516367892478</v>
      </c>
      <c r="CS83" s="102">
        <v>0.54823066304398549</v>
      </c>
      <c r="CT83" s="102">
        <v>3.3476577583433378</v>
      </c>
      <c r="CU83" s="102">
        <v>0.50396791729941104</v>
      </c>
      <c r="CV83" s="102">
        <v>3.8709205340886665</v>
      </c>
      <c r="CW83" s="102">
        <v>0.73372572660398083</v>
      </c>
      <c r="CX83" s="102">
        <v>0.76452301450643956</v>
      </c>
      <c r="CY83" s="102">
        <v>0.89647507722410258</v>
      </c>
      <c r="CZ83" s="102">
        <v>0.2658860731578081</v>
      </c>
    </row>
    <row r="84" spans="1:104">
      <c r="A84" s="81" t="s">
        <v>381</v>
      </c>
      <c r="C84" s="81" t="s">
        <v>408</v>
      </c>
      <c r="E84" s="81" t="s">
        <v>129</v>
      </c>
      <c r="F84" s="81" t="s">
        <v>130</v>
      </c>
      <c r="BE84" s="81">
        <v>47.22</v>
      </c>
      <c r="BF84" s="81">
        <v>1.821</v>
      </c>
      <c r="BG84" s="81">
        <v>16.55</v>
      </c>
      <c r="BH84" s="81">
        <v>14.62</v>
      </c>
      <c r="BI84" s="81">
        <v>0.16500000000000001</v>
      </c>
      <c r="BJ84" s="81">
        <v>5.26</v>
      </c>
      <c r="BK84" s="81">
        <v>9.9</v>
      </c>
      <c r="BL84" s="81">
        <v>2.39</v>
      </c>
      <c r="BM84" s="81">
        <v>0.23</v>
      </c>
      <c r="BN84" s="81">
        <v>0.14699999999999999</v>
      </c>
      <c r="BO84" s="81">
        <v>2.94</v>
      </c>
      <c r="BP84" s="102">
        <v>12.597420847483964</v>
      </c>
      <c r="BQ84" s="102">
        <v>0.51981994511732643</v>
      </c>
      <c r="BR84" s="102">
        <v>37.725411954195103</v>
      </c>
      <c r="BS84" s="102">
        <v>318.09185151562184</v>
      </c>
      <c r="BT84" s="102">
        <v>165.44173985129129</v>
      </c>
      <c r="BU84" s="102">
        <v>58.442245718526429</v>
      </c>
      <c r="BV84" s="102">
        <v>62.522993494996058</v>
      </c>
      <c r="BW84" s="102">
        <v>160.18309078374259</v>
      </c>
      <c r="BX84" s="102">
        <v>98.532286314939583</v>
      </c>
      <c r="BY84" s="102">
        <v>20.132011529051951</v>
      </c>
      <c r="BZ84" s="102"/>
      <c r="CA84" s="102">
        <v>1.5539102624231873</v>
      </c>
      <c r="CB84" s="102">
        <v>207.26322255693344</v>
      </c>
      <c r="CC84" s="102">
        <v>28.181363396134465</v>
      </c>
      <c r="CD84" s="102">
        <v>109.50440756612407</v>
      </c>
      <c r="CE84" s="102">
        <v>7.9555151243408888</v>
      </c>
      <c r="CF84" s="102">
        <v>2.5950483102753403E-2</v>
      </c>
      <c r="CG84" s="102">
        <v>492.97364614547035</v>
      </c>
      <c r="CH84" s="102">
        <v>8.8306361963710067</v>
      </c>
      <c r="CI84" s="102">
        <v>21.311684610505296</v>
      </c>
      <c r="CJ84" s="102">
        <v>3.0366965425672463</v>
      </c>
      <c r="CK84" s="102">
        <v>14.064788147423467</v>
      </c>
      <c r="CL84" s="102">
        <v>4.2863177675154116</v>
      </c>
      <c r="CM84" s="102">
        <v>1.6145188747714774</v>
      </c>
      <c r="CN84" s="102">
        <v>5.0528752806493049</v>
      </c>
      <c r="CO84" s="102">
        <v>0.86185162328483844</v>
      </c>
      <c r="CP84" s="102">
        <v>5.2028583366728673</v>
      </c>
      <c r="CQ84" s="102">
        <v>1.0804668365338705</v>
      </c>
      <c r="CR84" s="102">
        <v>2.8731305356369603</v>
      </c>
      <c r="CS84" s="102">
        <v>0.43350819328410262</v>
      </c>
      <c r="CT84" s="102">
        <v>2.6240080791179632</v>
      </c>
      <c r="CU84" s="102">
        <v>0.39764262197508254</v>
      </c>
      <c r="CV84" s="102">
        <v>2.91466965915434</v>
      </c>
      <c r="CW84" s="102">
        <v>0.54962197672456981</v>
      </c>
      <c r="CX84" s="102">
        <v>0.60597065092226288</v>
      </c>
      <c r="CY84" s="102">
        <v>0.66800613452073343</v>
      </c>
      <c r="CZ84" s="102">
        <v>0.15037742390256204</v>
      </c>
    </row>
    <row r="85" spans="1:104">
      <c r="A85" s="81" t="s">
        <v>382</v>
      </c>
      <c r="C85" s="81" t="s">
        <v>409</v>
      </c>
      <c r="E85" s="81" t="s">
        <v>129</v>
      </c>
      <c r="F85" s="81" t="s">
        <v>130</v>
      </c>
      <c r="BE85" s="81">
        <v>47.99</v>
      </c>
      <c r="BF85" s="81">
        <v>1.982</v>
      </c>
      <c r="BG85" s="81">
        <v>15.96</v>
      </c>
      <c r="BH85" s="81">
        <v>13.17</v>
      </c>
      <c r="BI85" s="81">
        <v>0.14799999999999999</v>
      </c>
      <c r="BJ85" s="81">
        <v>5.9</v>
      </c>
      <c r="BK85" s="81">
        <v>9.85</v>
      </c>
      <c r="BL85" s="81">
        <v>2.62</v>
      </c>
      <c r="BM85" s="81">
        <v>0.22</v>
      </c>
      <c r="BN85" s="81">
        <v>0.16600000000000001</v>
      </c>
      <c r="BO85" s="81">
        <v>2.42</v>
      </c>
      <c r="BP85" s="102">
        <v>8.5079066762083571</v>
      </c>
      <c r="BQ85" s="102">
        <v>0.54378095685610117</v>
      </c>
      <c r="BR85" s="102">
        <v>40.415564053968588</v>
      </c>
      <c r="BS85" s="102">
        <v>369.39699941080556</v>
      </c>
      <c r="BT85" s="102">
        <v>147.96738881429863</v>
      </c>
      <c r="BU85" s="102">
        <v>46.34326663712239</v>
      </c>
      <c r="BV85" s="102">
        <v>54.612042168843253</v>
      </c>
      <c r="BW85" s="102">
        <v>263.14215816736959</v>
      </c>
      <c r="BX85" s="102">
        <v>91.816996247030659</v>
      </c>
      <c r="BY85" s="102">
        <v>20.365913969593649</v>
      </c>
      <c r="BZ85" s="102"/>
      <c r="CA85" s="102">
        <v>1.7978815005372046</v>
      </c>
      <c r="CB85" s="102">
        <v>205.4839020745261</v>
      </c>
      <c r="CC85" s="102">
        <v>31.470333632200855</v>
      </c>
      <c r="CD85" s="102">
        <v>120.61075335767366</v>
      </c>
      <c r="CE85" s="102">
        <v>8.6736398340029552</v>
      </c>
      <c r="CF85" s="102">
        <v>3.5918035913902989E-2</v>
      </c>
      <c r="CG85" s="102">
        <v>48.410975820324779</v>
      </c>
      <c r="CH85" s="102">
        <v>9.2073243483743106</v>
      </c>
      <c r="CI85" s="102">
        <v>23.538075689346094</v>
      </c>
      <c r="CJ85" s="102">
        <v>3.3892197580321222</v>
      </c>
      <c r="CK85" s="102">
        <v>15.807245416615123</v>
      </c>
      <c r="CL85" s="102">
        <v>4.8996975786230319</v>
      </c>
      <c r="CM85" s="102">
        <v>1.8049379140053552</v>
      </c>
      <c r="CN85" s="102">
        <v>5.6624548937288592</v>
      </c>
      <c r="CO85" s="102">
        <v>0.96813115856117338</v>
      </c>
      <c r="CP85" s="102">
        <v>5.8008272962484435</v>
      </c>
      <c r="CQ85" s="102">
        <v>1.1940613615144562</v>
      </c>
      <c r="CR85" s="102">
        <v>3.2346793329743266</v>
      </c>
      <c r="CS85" s="102">
        <v>0.47329362715406043</v>
      </c>
      <c r="CT85" s="102">
        <v>2.8737309570630591</v>
      </c>
      <c r="CU85" s="102">
        <v>0.42251781125670429</v>
      </c>
      <c r="CV85" s="102">
        <v>3.1732938709259253</v>
      </c>
      <c r="CW85" s="102">
        <v>0.60711505435396518</v>
      </c>
      <c r="CX85" s="102">
        <v>0.78758290648466101</v>
      </c>
      <c r="CY85" s="102">
        <v>0.73010410293577388</v>
      </c>
      <c r="CZ85" s="102">
        <v>0.17562381622585757</v>
      </c>
    </row>
    <row r="86" spans="1:104">
      <c r="A86" s="81" t="s">
        <v>383</v>
      </c>
      <c r="C86" s="81" t="s">
        <v>410</v>
      </c>
      <c r="E86" s="81" t="s">
        <v>129</v>
      </c>
      <c r="F86" s="81" t="s">
        <v>130</v>
      </c>
      <c r="BE86" s="81">
        <v>47.96</v>
      </c>
      <c r="BF86" s="81">
        <v>1.83</v>
      </c>
      <c r="BG86" s="81">
        <v>14.95</v>
      </c>
      <c r="BH86" s="81">
        <v>13.67</v>
      </c>
      <c r="BI86" s="81">
        <v>0.192</v>
      </c>
      <c r="BJ86" s="81">
        <v>6.89</v>
      </c>
      <c r="BK86" s="81">
        <v>9.73</v>
      </c>
      <c r="BL86" s="81">
        <v>2.74</v>
      </c>
      <c r="BM86" s="81">
        <v>0.16</v>
      </c>
      <c r="BN86" s="81">
        <v>0.16300000000000001</v>
      </c>
      <c r="BO86" s="81">
        <v>1.99</v>
      </c>
      <c r="BP86" s="102">
        <v>6.8130653286682987</v>
      </c>
      <c r="BQ86" s="102">
        <v>0.48765275472699388</v>
      </c>
      <c r="BR86" s="102">
        <v>41.004406249847982</v>
      </c>
      <c r="BS86" s="102">
        <v>366.78166773855867</v>
      </c>
      <c r="BT86" s="102">
        <v>145.95267032147493</v>
      </c>
      <c r="BU86" s="102">
        <v>54.187752837038232</v>
      </c>
      <c r="BV86" s="102">
        <v>72.255997830325441</v>
      </c>
      <c r="BW86" s="102">
        <v>133.47908306005107</v>
      </c>
      <c r="BX86" s="102">
        <v>100.36650070304705</v>
      </c>
      <c r="BY86" s="102">
        <v>20.052736833220472</v>
      </c>
      <c r="BZ86" s="102"/>
      <c r="CA86" s="102">
        <v>1.2528297909804906</v>
      </c>
      <c r="CB86" s="102">
        <v>201.04857259689567</v>
      </c>
      <c r="CC86" s="102">
        <v>28.618587392724788</v>
      </c>
      <c r="CD86" s="102">
        <v>110.26693684323384</v>
      </c>
      <c r="CE86" s="102">
        <v>7.7251373840039994</v>
      </c>
      <c r="CF86" s="102">
        <v>1.0626198651085344E-2</v>
      </c>
      <c r="CG86" s="102">
        <v>36.607539267521638</v>
      </c>
      <c r="CH86" s="102">
        <v>7.9190791139880101</v>
      </c>
      <c r="CI86" s="102">
        <v>20.441506445697083</v>
      </c>
      <c r="CJ86" s="102">
        <v>2.9396390486206108</v>
      </c>
      <c r="CK86" s="102">
        <v>13.663705810636541</v>
      </c>
      <c r="CL86" s="102">
        <v>4.2496737376773961</v>
      </c>
      <c r="CM86" s="102">
        <v>1.5546859200530236</v>
      </c>
      <c r="CN86" s="102">
        <v>5.0360920549838681</v>
      </c>
      <c r="CO86" s="102">
        <v>0.84676010375081967</v>
      </c>
      <c r="CP86" s="102">
        <v>5.252372477979514</v>
      </c>
      <c r="CQ86" s="102">
        <v>1.1015814486887936</v>
      </c>
      <c r="CR86" s="102">
        <v>3.0001546392282772</v>
      </c>
      <c r="CS86" s="102">
        <v>0.4465220168629862</v>
      </c>
      <c r="CT86" s="102">
        <v>2.8161547852415842</v>
      </c>
      <c r="CU86" s="102">
        <v>0.42280197954102827</v>
      </c>
      <c r="CV86" s="102">
        <v>2.9171138389397622</v>
      </c>
      <c r="CW86" s="102">
        <v>0.53676382192568561</v>
      </c>
      <c r="CX86" s="102">
        <v>0.52916157759315652</v>
      </c>
      <c r="CY86" s="102">
        <v>0.6343161207056095</v>
      </c>
      <c r="CZ86" s="102">
        <v>0.15693600637537705</v>
      </c>
    </row>
    <row r="87" spans="1:104">
      <c r="A87" s="81" t="s">
        <v>384</v>
      </c>
      <c r="C87" s="81" t="s">
        <v>411</v>
      </c>
      <c r="E87" s="81" t="s">
        <v>129</v>
      </c>
      <c r="F87" s="81" t="s">
        <v>130</v>
      </c>
      <c r="BE87" s="81">
        <v>48.69</v>
      </c>
      <c r="BF87" s="81">
        <v>1.871</v>
      </c>
      <c r="BG87" s="81">
        <v>14.83</v>
      </c>
      <c r="BH87" s="81">
        <v>12.66</v>
      </c>
      <c r="BI87" s="81">
        <v>0.19</v>
      </c>
      <c r="BJ87" s="81">
        <v>7.1</v>
      </c>
      <c r="BK87" s="81">
        <v>10.75</v>
      </c>
      <c r="BL87" s="81">
        <v>2.7</v>
      </c>
      <c r="BM87" s="81">
        <v>0.11</v>
      </c>
      <c r="BN87" s="81">
        <v>0.155</v>
      </c>
      <c r="BO87" s="81">
        <v>0.55000000000000004</v>
      </c>
      <c r="BP87" s="102">
        <v>6.1287113369873234</v>
      </c>
      <c r="BQ87" s="102">
        <v>0.59462065794100738</v>
      </c>
      <c r="BR87" s="102">
        <v>40.543690045954087</v>
      </c>
      <c r="BS87" s="102">
        <v>368.69917548036284</v>
      </c>
      <c r="BT87" s="102">
        <v>145.99036323859448</v>
      </c>
      <c r="BU87" s="102">
        <v>49.091840941317798</v>
      </c>
      <c r="BV87" s="102">
        <v>71.27618999571817</v>
      </c>
      <c r="BW87" s="102">
        <v>195.51013034302684</v>
      </c>
      <c r="BX87" s="102">
        <v>100.7836056046221</v>
      </c>
      <c r="BY87" s="102">
        <v>20.427128216947768</v>
      </c>
      <c r="BZ87" s="102"/>
      <c r="CA87" s="102">
        <v>0.64975848071154041</v>
      </c>
      <c r="CB87" s="102">
        <v>213.01818352871825</v>
      </c>
      <c r="CC87" s="102">
        <v>27.353168098114892</v>
      </c>
      <c r="CD87" s="102">
        <v>115.38577793041927</v>
      </c>
      <c r="CE87" s="102">
        <v>7.7510086167111965</v>
      </c>
      <c r="CF87" s="102">
        <v>6.3082628359443123E-3</v>
      </c>
      <c r="CG87" s="102">
        <v>37.453918231881204</v>
      </c>
      <c r="CH87" s="102">
        <v>7.7122320871236658</v>
      </c>
      <c r="CI87" s="102">
        <v>20.137786711189548</v>
      </c>
      <c r="CJ87" s="102">
        <v>2.930417951180476</v>
      </c>
      <c r="CK87" s="102">
        <v>13.677475530546065</v>
      </c>
      <c r="CL87" s="102">
        <v>4.281747078032403</v>
      </c>
      <c r="CM87" s="102">
        <v>1.5958650424471792</v>
      </c>
      <c r="CN87" s="102">
        <v>5.093096925818732</v>
      </c>
      <c r="CO87" s="102">
        <v>0.88486685432847001</v>
      </c>
      <c r="CP87" s="102">
        <v>5.2769208148988573</v>
      </c>
      <c r="CQ87" s="102">
        <v>1.0975182073922694</v>
      </c>
      <c r="CR87" s="102">
        <v>2.986090946832161</v>
      </c>
      <c r="CS87" s="102">
        <v>0.45850939483499425</v>
      </c>
      <c r="CT87" s="102">
        <v>2.8090529071687769</v>
      </c>
      <c r="CU87" s="102">
        <v>0.43173821036541865</v>
      </c>
      <c r="CV87" s="102">
        <v>3.0950533426709845</v>
      </c>
      <c r="CW87" s="102">
        <v>0.54068647283422855</v>
      </c>
      <c r="CX87" s="102">
        <v>0.66075940724602544</v>
      </c>
      <c r="CY87" s="102">
        <v>0.65470372713528013</v>
      </c>
      <c r="CZ87" s="102">
        <v>0.17138191914662587</v>
      </c>
    </row>
    <row r="88" spans="1:104">
      <c r="A88" s="81" t="s">
        <v>385</v>
      </c>
      <c r="C88" s="81" t="s">
        <v>412</v>
      </c>
      <c r="E88" s="81" t="s">
        <v>129</v>
      </c>
      <c r="F88" s="81" t="s">
        <v>130</v>
      </c>
      <c r="BE88" s="81">
        <v>47.08</v>
      </c>
      <c r="BF88" s="81">
        <v>1.62</v>
      </c>
      <c r="BG88" s="81">
        <v>14.46</v>
      </c>
      <c r="BH88" s="81">
        <v>12.36</v>
      </c>
      <c r="BI88" s="81">
        <v>0.19800000000000001</v>
      </c>
      <c r="BJ88" s="81">
        <v>7.13</v>
      </c>
      <c r="BK88" s="81">
        <v>12</v>
      </c>
      <c r="BL88" s="81">
        <v>2.36</v>
      </c>
      <c r="BM88" s="81">
        <v>0.16</v>
      </c>
      <c r="BN88" s="81">
        <v>0.152</v>
      </c>
      <c r="BO88" s="81">
        <v>2.68</v>
      </c>
      <c r="BP88" s="102">
        <v>6.917141852075261</v>
      </c>
      <c r="BQ88" s="102">
        <v>0.51402660987725735</v>
      </c>
      <c r="BR88" s="102">
        <v>39.40887165195182</v>
      </c>
      <c r="BS88" s="102">
        <v>341.24316776153142</v>
      </c>
      <c r="BT88" s="102">
        <v>284.14132430583334</v>
      </c>
      <c r="BU88" s="102">
        <v>48.081449275830373</v>
      </c>
      <c r="BV88" s="102">
        <v>85.269966474555801</v>
      </c>
      <c r="BW88" s="102">
        <v>81.18090448742683</v>
      </c>
      <c r="BX88" s="102">
        <v>93.905518830166343</v>
      </c>
      <c r="BY88" s="102">
        <v>18.836872292339518</v>
      </c>
      <c r="BZ88" s="102"/>
      <c r="CA88" s="102">
        <v>1.834226630555988</v>
      </c>
      <c r="CB88" s="102">
        <v>197.19812276134238</v>
      </c>
      <c r="CC88" s="102">
        <v>24.078469317509562</v>
      </c>
      <c r="CD88" s="102">
        <v>98.265406925495753</v>
      </c>
      <c r="CE88" s="102">
        <v>6.6803264352217253</v>
      </c>
      <c r="CF88" s="102">
        <v>3.2380474399348123E-2</v>
      </c>
      <c r="CG88" s="102">
        <v>43.827505843675006</v>
      </c>
      <c r="CH88" s="102">
        <v>6.6211854060206701</v>
      </c>
      <c r="CI88" s="102">
        <v>17.134569147085294</v>
      </c>
      <c r="CJ88" s="102">
        <v>2.5306517039840957</v>
      </c>
      <c r="CK88" s="102">
        <v>12.07735710076294</v>
      </c>
      <c r="CL88" s="102">
        <v>3.7694257429131275</v>
      </c>
      <c r="CM88" s="102">
        <v>1.4303408836207991</v>
      </c>
      <c r="CN88" s="102">
        <v>4.4291516942294642</v>
      </c>
      <c r="CO88" s="102">
        <v>0.7579819563505229</v>
      </c>
      <c r="CP88" s="102">
        <v>4.5794954831773023</v>
      </c>
      <c r="CQ88" s="102">
        <v>0.94188047651442441</v>
      </c>
      <c r="CR88" s="102">
        <v>2.5569681442279402</v>
      </c>
      <c r="CS88" s="102">
        <v>0.37877831594348904</v>
      </c>
      <c r="CT88" s="102">
        <v>2.3381868472256118</v>
      </c>
      <c r="CU88" s="102">
        <v>0.3561328126769811</v>
      </c>
      <c r="CV88" s="102">
        <v>2.6850963923309084</v>
      </c>
      <c r="CW88" s="102">
        <v>0.46799337094956694</v>
      </c>
      <c r="CX88" s="102">
        <v>0.58709467430049278</v>
      </c>
      <c r="CY88" s="102">
        <v>0.5837213362860969</v>
      </c>
      <c r="CZ88" s="102">
        <v>0.12339189967086636</v>
      </c>
    </row>
    <row r="89" spans="1:104">
      <c r="A89" s="81" t="s">
        <v>386</v>
      </c>
      <c r="C89" s="81" t="s">
        <v>413</v>
      </c>
      <c r="E89" s="81" t="s">
        <v>129</v>
      </c>
      <c r="F89" s="81" t="s">
        <v>130</v>
      </c>
      <c r="BE89" s="81">
        <v>48.92</v>
      </c>
      <c r="BF89" s="81">
        <v>1.724</v>
      </c>
      <c r="BG89" s="81">
        <v>14.49</v>
      </c>
      <c r="BH89" s="81">
        <v>12.64</v>
      </c>
      <c r="BI89" s="81">
        <v>0.189</v>
      </c>
      <c r="BJ89" s="81">
        <v>7.46</v>
      </c>
      <c r="BK89" s="81">
        <v>10.96</v>
      </c>
      <c r="BL89" s="81">
        <v>2.59</v>
      </c>
      <c r="BM89" s="81">
        <v>0.14000000000000001</v>
      </c>
      <c r="BN89" s="81">
        <v>0.14099999999999999</v>
      </c>
      <c r="BO89" s="81">
        <v>0.79</v>
      </c>
      <c r="BP89" s="102">
        <v>5.8300171722720533</v>
      </c>
      <c r="BQ89" s="102">
        <v>0.53387546374316119</v>
      </c>
      <c r="BR89" s="102">
        <v>39.860114118153263</v>
      </c>
      <c r="BS89" s="102">
        <v>349.8077841008855</v>
      </c>
      <c r="BT89" s="102">
        <v>255.13194536175772</v>
      </c>
      <c r="BU89" s="102">
        <v>48.08178076102476</v>
      </c>
      <c r="BV89" s="102">
        <v>77.677052595718834</v>
      </c>
      <c r="BW89" s="102">
        <v>97.941223794810895</v>
      </c>
      <c r="BX89" s="102">
        <v>93.340996352815594</v>
      </c>
      <c r="BY89" s="102">
        <v>19.466231221164982</v>
      </c>
      <c r="BZ89" s="102"/>
      <c r="CA89" s="102">
        <v>1.126664885636355</v>
      </c>
      <c r="CB89" s="102">
        <v>206.02071207397643</v>
      </c>
      <c r="CC89" s="102">
        <v>25.652361400753414</v>
      </c>
      <c r="CD89" s="102">
        <v>105.93285822351217</v>
      </c>
      <c r="CE89" s="102">
        <v>7.2874337235061049</v>
      </c>
      <c r="CF89" s="102">
        <v>1.0830028126042137E-2</v>
      </c>
      <c r="CG89" s="102">
        <v>39.974964914004602</v>
      </c>
      <c r="CH89" s="102">
        <v>7.281886218558097</v>
      </c>
      <c r="CI89" s="102">
        <v>18.884946261761801</v>
      </c>
      <c r="CJ89" s="102">
        <v>2.7480656726881354</v>
      </c>
      <c r="CK89" s="102">
        <v>12.877205625343366</v>
      </c>
      <c r="CL89" s="102">
        <v>3.9749180015384518</v>
      </c>
      <c r="CM89" s="102">
        <v>1.4991645600827344</v>
      </c>
      <c r="CN89" s="102">
        <v>4.7042103985046317</v>
      </c>
      <c r="CO89" s="102">
        <v>0.80438427220254827</v>
      </c>
      <c r="CP89" s="102">
        <v>4.8532482603474589</v>
      </c>
      <c r="CQ89" s="102">
        <v>1.0030974399751069</v>
      </c>
      <c r="CR89" s="102">
        <v>2.7420688894159904</v>
      </c>
      <c r="CS89" s="102">
        <v>0.41273306458926096</v>
      </c>
      <c r="CT89" s="102">
        <v>2.5322702447391867</v>
      </c>
      <c r="CU89" s="102">
        <v>0.39167811687451531</v>
      </c>
      <c r="CV89" s="102">
        <v>2.8628587860507939</v>
      </c>
      <c r="CW89" s="102">
        <v>0.50359900643010624</v>
      </c>
      <c r="CX89" s="102">
        <v>0.66994087762857868</v>
      </c>
      <c r="CY89" s="102">
        <v>0.61367597941142094</v>
      </c>
      <c r="CZ89" s="102">
        <v>0.1465963197940561</v>
      </c>
    </row>
    <row r="90" spans="1:104">
      <c r="A90" s="81" t="s">
        <v>387</v>
      </c>
      <c r="C90" s="81" t="s">
        <v>395</v>
      </c>
      <c r="E90" s="81" t="s">
        <v>129</v>
      </c>
      <c r="F90" s="81" t="s">
        <v>130</v>
      </c>
      <c r="BE90" s="81">
        <v>48.62</v>
      </c>
      <c r="BF90" s="81">
        <v>1.87</v>
      </c>
      <c r="BG90" s="81">
        <v>14.74</v>
      </c>
      <c r="BH90" s="81">
        <v>13.35</v>
      </c>
      <c r="BI90" s="81">
        <v>0.19800000000000001</v>
      </c>
      <c r="BJ90" s="81">
        <v>6.33</v>
      </c>
      <c r="BK90" s="81">
        <v>11.15</v>
      </c>
      <c r="BL90" s="81">
        <v>2.6</v>
      </c>
      <c r="BM90" s="81">
        <v>0.3</v>
      </c>
      <c r="BN90" s="81">
        <v>0.154</v>
      </c>
      <c r="BO90" s="81">
        <v>0.53</v>
      </c>
      <c r="BP90" s="102">
        <v>4.715665072207365</v>
      </c>
      <c r="BQ90" s="102">
        <v>0.56710687120916492</v>
      </c>
      <c r="BR90" s="102">
        <v>38.122041012928179</v>
      </c>
      <c r="BS90" s="102">
        <v>359.62186106878579</v>
      </c>
      <c r="BT90" s="102">
        <v>171.44598890390662</v>
      </c>
      <c r="BU90" s="102">
        <v>48.747950101894055</v>
      </c>
      <c r="BV90" s="102">
        <v>72.500543374442941</v>
      </c>
      <c r="BW90" s="102">
        <v>68.186202688224242</v>
      </c>
      <c r="BX90" s="102">
        <v>97.747868279038371</v>
      </c>
      <c r="BY90" s="102">
        <v>20.097731801761228</v>
      </c>
      <c r="BZ90" s="102"/>
      <c r="CA90" s="102">
        <v>4.633870221901331</v>
      </c>
      <c r="CB90" s="102">
        <v>221.30612193842032</v>
      </c>
      <c r="CC90" s="102">
        <v>28.076340466683273</v>
      </c>
      <c r="CD90" s="102">
        <v>116.59423359272041</v>
      </c>
      <c r="CE90" s="102">
        <v>7.9212431639040695</v>
      </c>
      <c r="CF90" s="102">
        <v>4.4365620361289229E-2</v>
      </c>
      <c r="CG90" s="102">
        <v>39.418162133925215</v>
      </c>
      <c r="CH90" s="102">
        <v>7.8631263762502845</v>
      </c>
      <c r="CI90" s="102">
        <v>20.551801029481247</v>
      </c>
      <c r="CJ90" s="102">
        <v>2.958118190806168</v>
      </c>
      <c r="CK90" s="102">
        <v>13.966854959219562</v>
      </c>
      <c r="CL90" s="102">
        <v>4.3518397435466314</v>
      </c>
      <c r="CM90" s="102">
        <v>1.606447463112773</v>
      </c>
      <c r="CN90" s="102">
        <v>5.089806497974501</v>
      </c>
      <c r="CO90" s="102">
        <v>0.86687728246711693</v>
      </c>
      <c r="CP90" s="102">
        <v>5.2340434149366084</v>
      </c>
      <c r="CQ90" s="102">
        <v>1.0919238998505836</v>
      </c>
      <c r="CR90" s="102">
        <v>2.9993522462961204</v>
      </c>
      <c r="CS90" s="102">
        <v>0.45381899198348946</v>
      </c>
      <c r="CT90" s="102">
        <v>2.6982360545594051</v>
      </c>
      <c r="CU90" s="102">
        <v>0.4089473189724902</v>
      </c>
      <c r="CV90" s="102">
        <v>3.0953913243799089</v>
      </c>
      <c r="CW90" s="102">
        <v>0.5609343895882215</v>
      </c>
      <c r="CX90" s="102">
        <v>0.71129430508528479</v>
      </c>
      <c r="CY90" s="102">
        <v>0.68782234126766195</v>
      </c>
      <c r="CZ90" s="102">
        <v>0.14735851769039171</v>
      </c>
    </row>
    <row r="91" spans="1:104">
      <c r="A91" s="81" t="s">
        <v>388</v>
      </c>
      <c r="C91" s="81" t="s">
        <v>396</v>
      </c>
      <c r="E91" s="81" t="s">
        <v>129</v>
      </c>
      <c r="F91" s="81" t="s">
        <v>130</v>
      </c>
      <c r="BE91" s="81">
        <v>47.76</v>
      </c>
      <c r="BF91" s="81">
        <v>2.7120000000000002</v>
      </c>
      <c r="BG91" s="81">
        <v>15.35</v>
      </c>
      <c r="BH91" s="81">
        <v>10.24</v>
      </c>
      <c r="BI91" s="81">
        <v>0.224</v>
      </c>
      <c r="BJ91" s="81">
        <v>4.87</v>
      </c>
      <c r="BK91" s="81">
        <v>12.85</v>
      </c>
      <c r="BL91" s="81">
        <v>2.89</v>
      </c>
      <c r="BM91" s="81">
        <v>0.63</v>
      </c>
      <c r="BN91" s="81">
        <v>0.26400000000000001</v>
      </c>
      <c r="BO91" s="81">
        <v>2.19</v>
      </c>
      <c r="BP91" s="102">
        <v>5.1496310543019561</v>
      </c>
      <c r="BQ91" s="102">
        <v>0.7364159521551682</v>
      </c>
      <c r="BR91" s="102">
        <v>46.036382799708264</v>
      </c>
      <c r="BS91" s="102">
        <v>430.90345944332313</v>
      </c>
      <c r="BT91" s="102">
        <v>229.03919349892143</v>
      </c>
      <c r="BU91" s="102">
        <v>50.047574089915209</v>
      </c>
      <c r="BV91" s="102">
        <v>89.64019485779643</v>
      </c>
      <c r="BW91" s="102">
        <v>168.52974775675929</v>
      </c>
      <c r="BX91" s="102">
        <v>148.47902323453769</v>
      </c>
      <c r="BY91" s="102">
        <v>24.513557548085824</v>
      </c>
      <c r="BZ91" s="102"/>
      <c r="CA91" s="102">
        <v>6.7396070370075121</v>
      </c>
      <c r="CB91" s="102">
        <v>277.25465511954957</v>
      </c>
      <c r="CC91" s="102">
        <v>40.127048053617699</v>
      </c>
      <c r="CD91" s="102">
        <v>195.45854093060029</v>
      </c>
      <c r="CE91" s="102">
        <v>16.479532307925464</v>
      </c>
      <c r="CF91" s="102">
        <v>3.6806939755136547E-2</v>
      </c>
      <c r="CG91" s="102">
        <v>129.08910560418988</v>
      </c>
      <c r="CH91" s="102">
        <v>15.63327184724375</v>
      </c>
      <c r="CI91" s="102">
        <v>38.075195607329533</v>
      </c>
      <c r="CJ91" s="102">
        <v>5.1609753024516998</v>
      </c>
      <c r="CK91" s="102">
        <v>23.35663827852315</v>
      </c>
      <c r="CL91" s="102">
        <v>6.8811491943859888</v>
      </c>
      <c r="CM91" s="102">
        <v>2.3565134516193122</v>
      </c>
      <c r="CN91" s="102">
        <v>7.601991198988638</v>
      </c>
      <c r="CO91" s="102">
        <v>1.2735834105545218</v>
      </c>
      <c r="CP91" s="102">
        <v>7.4710768768079543</v>
      </c>
      <c r="CQ91" s="102">
        <v>1.5414205007053658</v>
      </c>
      <c r="CR91" s="102">
        <v>4.2311887068882408</v>
      </c>
      <c r="CS91" s="102">
        <v>0.62939017324598645</v>
      </c>
      <c r="CT91" s="102">
        <v>3.711682358412264</v>
      </c>
      <c r="CU91" s="102">
        <v>0.55627540606644232</v>
      </c>
      <c r="CV91" s="102">
        <v>5.213552990015617</v>
      </c>
      <c r="CW91" s="102">
        <v>1.0932869315085785</v>
      </c>
      <c r="CX91" s="102">
        <v>1.7711658374321728</v>
      </c>
      <c r="CY91" s="102">
        <v>1.7781929864252193</v>
      </c>
      <c r="CZ91" s="102">
        <v>0.52856648738942991</v>
      </c>
    </row>
    <row r="92" spans="1:104">
      <c r="A92" s="81" t="s">
        <v>389</v>
      </c>
      <c r="C92" s="81" t="s">
        <v>397</v>
      </c>
      <c r="E92" s="81" t="s">
        <v>129</v>
      </c>
      <c r="F92" s="81" t="s">
        <v>130</v>
      </c>
      <c r="BE92" s="81">
        <v>46.94</v>
      </c>
      <c r="BF92" s="81">
        <v>2.3519999999999999</v>
      </c>
      <c r="BG92" s="81">
        <v>15.04</v>
      </c>
      <c r="BH92" s="81">
        <v>15.17</v>
      </c>
      <c r="BI92" s="81">
        <v>0.496</v>
      </c>
      <c r="BJ92" s="81">
        <v>6.31</v>
      </c>
      <c r="BK92" s="81">
        <v>3.78</v>
      </c>
      <c r="BL92" s="81">
        <v>3.1</v>
      </c>
      <c r="BM92" s="81">
        <v>2.48</v>
      </c>
      <c r="BN92" s="81">
        <v>0.24</v>
      </c>
      <c r="BO92" s="81">
        <v>2.84</v>
      </c>
      <c r="BP92" s="102">
        <v>6.6440667796167272</v>
      </c>
      <c r="BQ92" s="102">
        <v>0.52108707941763222</v>
      </c>
      <c r="BR92" s="102">
        <v>47.401912062284012</v>
      </c>
      <c r="BS92" s="102">
        <v>529.90263309447187</v>
      </c>
      <c r="BT92" s="102">
        <v>26.053108538150507</v>
      </c>
      <c r="BU92" s="102">
        <v>36.543609014542106</v>
      </c>
      <c r="BV92" s="102">
        <v>26.598506238564937</v>
      </c>
      <c r="BW92" s="102">
        <v>132.45731694898055</v>
      </c>
      <c r="BX92" s="102">
        <v>180.30941832630515</v>
      </c>
      <c r="BY92" s="102">
        <v>22.23942599863804</v>
      </c>
      <c r="BZ92" s="102"/>
      <c r="CA92" s="102">
        <v>11.445972078740406</v>
      </c>
      <c r="CB92" s="102">
        <v>531.97729318276924</v>
      </c>
      <c r="CC92" s="102">
        <v>39.792284113873833</v>
      </c>
      <c r="CD92" s="102">
        <v>136.03068308627931</v>
      </c>
      <c r="CE92" s="102">
        <v>12.365678423298515</v>
      </c>
      <c r="CF92" s="102">
        <v>1.6131226740391399E-2</v>
      </c>
      <c r="CG92" s="102">
        <v>9522.6998448911654</v>
      </c>
      <c r="CH92" s="102">
        <v>10.889056342935129</v>
      </c>
      <c r="CI92" s="102">
        <v>29.311769826181347</v>
      </c>
      <c r="CJ92" s="102">
        <v>4.2603295844765272</v>
      </c>
      <c r="CK92" s="102">
        <v>21.359804695231297</v>
      </c>
      <c r="CL92" s="102">
        <v>6.4453064561707132</v>
      </c>
      <c r="CM92" s="102">
        <v>2.4875779842186834</v>
      </c>
      <c r="CN92" s="102">
        <v>8.0225003596114579</v>
      </c>
      <c r="CO92" s="102">
        <v>1.3228231284176188</v>
      </c>
      <c r="CP92" s="102">
        <v>7.824780557472133</v>
      </c>
      <c r="CQ92" s="102">
        <v>1.6575883968382612</v>
      </c>
      <c r="CR92" s="102">
        <v>4.6639139898339419</v>
      </c>
      <c r="CS92" s="102">
        <v>0.66520075835074188</v>
      </c>
      <c r="CT92" s="102">
        <v>4.0424251276461813</v>
      </c>
      <c r="CU92" s="102">
        <v>0.64223874014406834</v>
      </c>
      <c r="CV92" s="102">
        <v>3.5475295188109408</v>
      </c>
      <c r="CW92" s="102">
        <v>0.80477606334862051</v>
      </c>
      <c r="CX92" s="102">
        <v>0.65927885968862265</v>
      </c>
      <c r="CY92" s="102">
        <v>0.89231152011664072</v>
      </c>
      <c r="CZ92" s="102">
        <v>0.26511957015929138</v>
      </c>
    </row>
    <row r="93" spans="1:104">
      <c r="A93" s="81" t="s">
        <v>390</v>
      </c>
      <c r="C93" s="81" t="s">
        <v>398</v>
      </c>
      <c r="E93" s="81" t="s">
        <v>129</v>
      </c>
      <c r="F93" s="81" t="s">
        <v>130</v>
      </c>
      <c r="BE93" s="81">
        <v>47.8</v>
      </c>
      <c r="BF93" s="81">
        <v>1.1120000000000001</v>
      </c>
      <c r="BG93" s="81">
        <v>16.23</v>
      </c>
      <c r="BH93" s="81">
        <v>9.81</v>
      </c>
      <c r="BI93" s="81">
        <v>0.36299999999999999</v>
      </c>
      <c r="BJ93" s="81">
        <v>11.23</v>
      </c>
      <c r="BK93" s="81">
        <v>4.0599999999999996</v>
      </c>
      <c r="BL93" s="81">
        <v>2.21</v>
      </c>
      <c r="BM93" s="81">
        <v>2.37</v>
      </c>
      <c r="BN93" s="81">
        <v>0.09</v>
      </c>
      <c r="BO93" s="81">
        <v>5.58</v>
      </c>
      <c r="BP93" s="102">
        <v>37.080252402329123</v>
      </c>
      <c r="BQ93" s="102">
        <v>0.33957533479448526</v>
      </c>
      <c r="BR93" s="102">
        <v>53.787726086670901</v>
      </c>
      <c r="BS93" s="102">
        <v>379.66372497146085</v>
      </c>
      <c r="BT93" s="102">
        <v>276.80388236818067</v>
      </c>
      <c r="BU93" s="102">
        <v>58.71074667911693</v>
      </c>
      <c r="BV93" s="102">
        <v>86.748804236184085</v>
      </c>
      <c r="BW93" s="102">
        <v>163.95318272223221</v>
      </c>
      <c r="BX93" s="102">
        <v>84.770250467344937</v>
      </c>
      <c r="BY93" s="102">
        <v>17.026921285916419</v>
      </c>
      <c r="BZ93" s="102"/>
      <c r="CA93" s="102">
        <v>11.092889595012659</v>
      </c>
      <c r="CB93" s="102">
        <v>112.20513353554242</v>
      </c>
      <c r="CC93" s="102">
        <v>17.934200671622406</v>
      </c>
      <c r="CD93" s="102">
        <v>53.374661300128814</v>
      </c>
      <c r="CE93" s="102">
        <v>2.9188248502456648</v>
      </c>
      <c r="CF93" s="102">
        <v>2.8893080375204452E-2</v>
      </c>
      <c r="CG93" s="102">
        <v>349.56751835210957</v>
      </c>
      <c r="CH93" s="102">
        <v>2.8970374068531117</v>
      </c>
      <c r="CI93" s="102">
        <v>7.7761942257768908</v>
      </c>
      <c r="CJ93" s="102">
        <v>1.229832199492926</v>
      </c>
      <c r="CK93" s="102">
        <v>6.5616929374014781</v>
      </c>
      <c r="CL93" s="102">
        <v>2.2224444227766362</v>
      </c>
      <c r="CM93" s="102">
        <v>0.85007141379054352</v>
      </c>
      <c r="CN93" s="102">
        <v>2.980016724380584</v>
      </c>
      <c r="CO93" s="102">
        <v>0.53683156677708976</v>
      </c>
      <c r="CP93" s="102">
        <v>3.319734522158329</v>
      </c>
      <c r="CQ93" s="102">
        <v>0.72519813262612676</v>
      </c>
      <c r="CR93" s="102">
        <v>2.1005025329554701</v>
      </c>
      <c r="CS93" s="102">
        <v>0.31092243479184062</v>
      </c>
      <c r="CT93" s="102">
        <v>1.9459366817734254</v>
      </c>
      <c r="CU93" s="102">
        <v>0.29348434813083862</v>
      </c>
      <c r="CV93" s="102">
        <v>1.514556069816025</v>
      </c>
      <c r="CW93" s="102">
        <v>0.20254238685257936</v>
      </c>
      <c r="CX93" s="102">
        <v>0.49552755006216059</v>
      </c>
      <c r="CY93" s="102">
        <v>0.22620445047701293</v>
      </c>
      <c r="CZ93" s="102">
        <v>7.7194009510479236E-2</v>
      </c>
    </row>
    <row r="94" spans="1:104">
      <c r="A94" s="81" t="s">
        <v>391</v>
      </c>
      <c r="C94" s="81" t="s">
        <v>399</v>
      </c>
      <c r="E94" s="81" t="s">
        <v>129</v>
      </c>
      <c r="F94" s="81" t="s">
        <v>130</v>
      </c>
      <c r="BE94" s="81">
        <v>50.46</v>
      </c>
      <c r="BF94" s="81">
        <v>1.24</v>
      </c>
      <c r="BG94" s="81">
        <v>14.84</v>
      </c>
      <c r="BH94" s="81">
        <v>11.91</v>
      </c>
      <c r="BI94" s="81">
        <v>0.20100000000000001</v>
      </c>
      <c r="BJ94" s="81">
        <v>7.83</v>
      </c>
      <c r="BK94" s="81">
        <v>9.01</v>
      </c>
      <c r="BL94" s="81">
        <v>2.62</v>
      </c>
      <c r="BM94" s="81">
        <v>0.08</v>
      </c>
      <c r="BN94" s="81">
        <v>9.6000000000000002E-2</v>
      </c>
      <c r="BO94" s="81">
        <v>1.91</v>
      </c>
      <c r="BP94" s="102">
        <v>5.0573662209559691</v>
      </c>
      <c r="BQ94" s="102">
        <v>0.40314925871561136</v>
      </c>
      <c r="BR94" s="102">
        <v>50.618128404003251</v>
      </c>
      <c r="BS94" s="102">
        <v>408.72895273473642</v>
      </c>
      <c r="BT94" s="102">
        <v>192.13550700955861</v>
      </c>
      <c r="BU94" s="102">
        <v>52.397532305610738</v>
      </c>
      <c r="BV94" s="102">
        <v>73.314064119603714</v>
      </c>
      <c r="BW94" s="102">
        <v>151.2497976931482</v>
      </c>
      <c r="BX94" s="102">
        <v>96.618649793509462</v>
      </c>
      <c r="BY94" s="102">
        <v>16.95740104367205</v>
      </c>
      <c r="BZ94" s="102"/>
      <c r="CA94" s="102">
        <v>0.52438448354898148</v>
      </c>
      <c r="CB94" s="102">
        <v>116.57779714411268</v>
      </c>
      <c r="CC94" s="102">
        <v>23.098634733231851</v>
      </c>
      <c r="CD94" s="102">
        <v>62.574284870753097</v>
      </c>
      <c r="CE94" s="102">
        <v>3.1267403642895175</v>
      </c>
      <c r="CF94" s="102">
        <v>1.2177186895299308E-2</v>
      </c>
      <c r="CG94" s="102">
        <v>23.270576567941376</v>
      </c>
      <c r="CH94" s="102">
        <v>3.0971928775422106</v>
      </c>
      <c r="CI94" s="102">
        <v>8.3160876617569741</v>
      </c>
      <c r="CJ94" s="102">
        <v>1.3361043477582164</v>
      </c>
      <c r="CK94" s="102">
        <v>7.0056123117750611</v>
      </c>
      <c r="CL94" s="102">
        <v>2.4550677767591398</v>
      </c>
      <c r="CM94" s="102">
        <v>0.95591653389328968</v>
      </c>
      <c r="CN94" s="102">
        <v>3.3815821939512603</v>
      </c>
      <c r="CO94" s="102">
        <v>0.61598203114776118</v>
      </c>
      <c r="CP94" s="102">
        <v>4.0004586742546575</v>
      </c>
      <c r="CQ94" s="102">
        <v>0.88643856845933233</v>
      </c>
      <c r="CR94" s="102">
        <v>2.689571755716277</v>
      </c>
      <c r="CS94" s="102">
        <v>0.40655117315177075</v>
      </c>
      <c r="CT94" s="102">
        <v>2.4761766657258</v>
      </c>
      <c r="CU94" s="102">
        <v>0.38684666236135778</v>
      </c>
      <c r="CV94" s="102">
        <v>1.7539370187512668</v>
      </c>
      <c r="CW94" s="102">
        <v>0.21091002543858103</v>
      </c>
      <c r="CX94" s="102">
        <v>0.39520872280785208</v>
      </c>
      <c r="CY94" s="102">
        <v>0.23496971913115924</v>
      </c>
      <c r="CZ94" s="102">
        <v>7.7173634108350875E-2</v>
      </c>
    </row>
    <row r="95" spans="1:104">
      <c r="A95" s="81" t="s">
        <v>392</v>
      </c>
      <c r="C95" s="81" t="s">
        <v>400</v>
      </c>
      <c r="E95" s="81" t="s">
        <v>129</v>
      </c>
      <c r="F95" s="81" t="s">
        <v>130</v>
      </c>
      <c r="BE95" s="81">
        <v>48.1</v>
      </c>
      <c r="BF95" s="81">
        <v>1.41</v>
      </c>
      <c r="BG95" s="81">
        <v>16.649999999999999</v>
      </c>
      <c r="BH95" s="81">
        <v>12.63</v>
      </c>
      <c r="BI95" s="81">
        <v>0.252</v>
      </c>
      <c r="BJ95" s="81">
        <v>7.59</v>
      </c>
      <c r="BK95" s="81">
        <v>8.6199999999999992</v>
      </c>
      <c r="BL95" s="81">
        <v>2.94</v>
      </c>
      <c r="BM95" s="81">
        <v>0.08</v>
      </c>
      <c r="BN95" s="81">
        <v>0.112</v>
      </c>
      <c r="BO95" s="81">
        <v>1.99</v>
      </c>
      <c r="BP95" s="102">
        <v>5.0444947227651431</v>
      </c>
      <c r="BQ95" s="102">
        <v>0.48108377252584095</v>
      </c>
      <c r="BR95" s="102">
        <v>54.683408719590147</v>
      </c>
      <c r="BS95" s="102">
        <v>454.39853129158138</v>
      </c>
      <c r="BT95" s="102">
        <v>209.76653731322264</v>
      </c>
      <c r="BU95" s="102">
        <v>45.396843152197675</v>
      </c>
      <c r="BV95" s="102">
        <v>66.595458917352389</v>
      </c>
      <c r="BW95" s="102">
        <v>164.58660923987586</v>
      </c>
      <c r="BX95" s="102">
        <v>121.33612240054501</v>
      </c>
      <c r="BY95" s="102">
        <v>18.424948717397104</v>
      </c>
      <c r="BZ95" s="102"/>
      <c r="CA95" s="102">
        <v>0.36803156565955319</v>
      </c>
      <c r="CB95" s="102">
        <v>132.4133414163548</v>
      </c>
      <c r="CC95" s="102">
        <v>20.245182228986152</v>
      </c>
      <c r="CD95" s="102">
        <v>71.067885953638907</v>
      </c>
      <c r="CE95" s="102">
        <v>3.5627551437060414</v>
      </c>
      <c r="CF95" s="102">
        <v>8.6389508951746716E-3</v>
      </c>
      <c r="CG95" s="102">
        <v>13.456698794522637</v>
      </c>
      <c r="CH95" s="102">
        <v>3.4254101696593948</v>
      </c>
      <c r="CI95" s="102">
        <v>9.308070129360889</v>
      </c>
      <c r="CJ95" s="102">
        <v>1.4612640376099799</v>
      </c>
      <c r="CK95" s="102">
        <v>7.682171508042865</v>
      </c>
      <c r="CL95" s="102">
        <v>2.5858662077940662</v>
      </c>
      <c r="CM95" s="102">
        <v>1.0161832230340602</v>
      </c>
      <c r="CN95" s="102">
        <v>3.4232237513587238</v>
      </c>
      <c r="CO95" s="102">
        <v>0.6095150490599277</v>
      </c>
      <c r="CP95" s="102">
        <v>3.7847470287513616</v>
      </c>
      <c r="CQ95" s="102">
        <v>0.81163328195520235</v>
      </c>
      <c r="CR95" s="102">
        <v>2.3420111481125043</v>
      </c>
      <c r="CS95" s="102">
        <v>0.34691395944492559</v>
      </c>
      <c r="CT95" s="102">
        <v>2.1909555176586015</v>
      </c>
      <c r="CU95" s="102">
        <v>0.33626408793322432</v>
      </c>
      <c r="CV95" s="102">
        <v>1.9738930409207021</v>
      </c>
      <c r="CW95" s="102">
        <v>0.23942914063002263</v>
      </c>
      <c r="CX95" s="102">
        <v>0.25071971741546867</v>
      </c>
      <c r="CY95" s="102">
        <v>0.25785490364288138</v>
      </c>
      <c r="CZ95" s="102">
        <v>8.3712901725496683E-2</v>
      </c>
    </row>
    <row r="96" spans="1:104">
      <c r="A96" s="81" t="s">
        <v>393</v>
      </c>
      <c r="C96" s="81" t="s">
        <v>401</v>
      </c>
      <c r="E96" s="81" t="s">
        <v>129</v>
      </c>
      <c r="F96" s="81" t="s">
        <v>130</v>
      </c>
      <c r="BE96" s="81">
        <v>50.05</v>
      </c>
      <c r="BF96" s="81">
        <v>1.1859999999999999</v>
      </c>
      <c r="BG96" s="81">
        <v>13.98</v>
      </c>
      <c r="BH96" s="81">
        <v>12.47</v>
      </c>
      <c r="BI96" s="81">
        <v>0.20200000000000001</v>
      </c>
      <c r="BJ96" s="81">
        <v>8.6999999999999993</v>
      </c>
      <c r="BK96" s="81">
        <v>8.8000000000000007</v>
      </c>
      <c r="BL96" s="81">
        <v>2.41</v>
      </c>
      <c r="BM96" s="81">
        <v>0.11</v>
      </c>
      <c r="BN96" s="81">
        <v>8.1000000000000003E-2</v>
      </c>
      <c r="BO96" s="81">
        <v>1.84</v>
      </c>
      <c r="BP96" s="102">
        <v>4.8875761098802561</v>
      </c>
      <c r="BQ96" s="102">
        <v>0.31113766235425039</v>
      </c>
      <c r="BR96" s="102">
        <v>48.963902610873319</v>
      </c>
      <c r="BS96" s="102">
        <v>418.52801352065876</v>
      </c>
      <c r="BT96" s="102">
        <v>147.4330229051626</v>
      </c>
      <c r="BU96" s="102">
        <v>51.83456886989272</v>
      </c>
      <c r="BV96" s="102">
        <v>68.154465825663209</v>
      </c>
      <c r="BW96" s="102">
        <v>150.12419666800361</v>
      </c>
      <c r="BX96" s="102">
        <v>84.184219416878136</v>
      </c>
      <c r="BY96" s="102">
        <v>16.114887345990937</v>
      </c>
      <c r="BZ96" s="102"/>
      <c r="CA96" s="102">
        <v>1.4183435645647489</v>
      </c>
      <c r="CB96" s="102">
        <v>109.3255438349874</v>
      </c>
      <c r="CC96" s="102">
        <v>18.63637796234379</v>
      </c>
      <c r="CD96" s="102">
        <v>52.59130102496227</v>
      </c>
      <c r="CE96" s="102">
        <v>2.6360744567110004</v>
      </c>
      <c r="CF96" s="102">
        <v>1.235488075066349E-2</v>
      </c>
      <c r="CG96" s="102">
        <v>23.945234804801633</v>
      </c>
      <c r="CH96" s="102">
        <v>2.4410185315160051</v>
      </c>
      <c r="CI96" s="102">
        <v>6.5845340302172408</v>
      </c>
      <c r="CJ96" s="102">
        <v>1.0551265527817382</v>
      </c>
      <c r="CK96" s="102">
        <v>5.6554630942280504</v>
      </c>
      <c r="CL96" s="102">
        <v>1.9975961739111807</v>
      </c>
      <c r="CM96" s="102">
        <v>0.79627263093406453</v>
      </c>
      <c r="CN96" s="102">
        <v>2.715198301633321</v>
      </c>
      <c r="CO96" s="102">
        <v>0.50033302013954717</v>
      </c>
      <c r="CP96" s="102">
        <v>3.2440054156165172</v>
      </c>
      <c r="CQ96" s="102">
        <v>0.72713729832603424</v>
      </c>
      <c r="CR96" s="102">
        <v>2.1575161063042705</v>
      </c>
      <c r="CS96" s="102">
        <v>0.32643101628276733</v>
      </c>
      <c r="CT96" s="102">
        <v>1.9700016700581382</v>
      </c>
      <c r="CU96" s="102">
        <v>0.3097786518579459</v>
      </c>
      <c r="CV96" s="102">
        <v>1.4840060940326913</v>
      </c>
      <c r="CW96" s="102">
        <v>0.17644275651548819</v>
      </c>
      <c r="CX96" s="102">
        <v>0.18914960916280607</v>
      </c>
      <c r="CY96" s="102">
        <v>0.18768777258727856</v>
      </c>
      <c r="CZ96" s="102">
        <v>6.5968335300192193E-2</v>
      </c>
    </row>
    <row r="97" spans="1:104">
      <c r="A97" s="81" t="s">
        <v>394</v>
      </c>
      <c r="C97" s="81" t="s">
        <v>402</v>
      </c>
      <c r="E97" s="81" t="s">
        <v>129</v>
      </c>
      <c r="F97" s="81" t="s">
        <v>130</v>
      </c>
      <c r="BE97" s="81">
        <v>46.61</v>
      </c>
      <c r="BF97" s="81">
        <v>1.9950000000000001</v>
      </c>
      <c r="BG97" s="81">
        <v>13.76</v>
      </c>
      <c r="BH97" s="81">
        <v>15.58</v>
      </c>
      <c r="BI97" s="81">
        <v>0.29699999999999999</v>
      </c>
      <c r="BJ97" s="81">
        <v>9.1</v>
      </c>
      <c r="BK97" s="81">
        <v>5.72</v>
      </c>
      <c r="BL97" s="81">
        <v>3.05</v>
      </c>
      <c r="BM97" s="81">
        <v>0.38</v>
      </c>
      <c r="BN97" s="81">
        <v>0.20599999999999999</v>
      </c>
      <c r="BO97" s="81">
        <v>2.93</v>
      </c>
      <c r="BP97" s="102">
        <v>5.4163846584916566</v>
      </c>
      <c r="BQ97" s="102">
        <v>0.38082524673986717</v>
      </c>
      <c r="BR97" s="102">
        <v>42.098160115424498</v>
      </c>
      <c r="BS97" s="102">
        <v>430.01973437597405</v>
      </c>
      <c r="BT97" s="102">
        <v>57.669958677890484</v>
      </c>
      <c r="BU97" s="102">
        <v>33.39195521333297</v>
      </c>
      <c r="BV97" s="102">
        <v>38.505865741675493</v>
      </c>
      <c r="BW97" s="102">
        <v>144.53040891848815</v>
      </c>
      <c r="BX97" s="102">
        <v>110.41758623181178</v>
      </c>
      <c r="BY97" s="102">
        <v>18.881869716138866</v>
      </c>
      <c r="BZ97" s="102"/>
      <c r="CA97" s="102">
        <v>1.6696029418958966</v>
      </c>
      <c r="CB97" s="102">
        <v>188.43355441534524</v>
      </c>
      <c r="CC97" s="102">
        <v>26.67606935323899</v>
      </c>
      <c r="CD97" s="102">
        <v>111.39905090203084</v>
      </c>
      <c r="CE97" s="102">
        <v>10.748674668131088</v>
      </c>
      <c r="CF97" s="102">
        <v>7.6329633683720061E-3</v>
      </c>
      <c r="CG97" s="102">
        <v>34.246574444037826</v>
      </c>
      <c r="CH97" s="102">
        <v>10.203282472261225</v>
      </c>
      <c r="CI97" s="102">
        <v>24.725115671530958</v>
      </c>
      <c r="CJ97" s="102">
        <v>3.404525490381455</v>
      </c>
      <c r="CK97" s="102">
        <v>16.049549157964286</v>
      </c>
      <c r="CL97" s="102">
        <v>4.369607502739921</v>
      </c>
      <c r="CM97" s="102">
        <v>1.4861974944686958</v>
      </c>
      <c r="CN97" s="102">
        <v>5.1853033494045873</v>
      </c>
      <c r="CO97" s="102">
        <v>0.82890787537283706</v>
      </c>
      <c r="CP97" s="102">
        <v>4.8849142570451747</v>
      </c>
      <c r="CQ97" s="102">
        <v>1.0287649717509033</v>
      </c>
      <c r="CR97" s="102">
        <v>2.8241683709356229</v>
      </c>
      <c r="CS97" s="102">
        <v>0.40186060280072544</v>
      </c>
      <c r="CT97" s="102">
        <v>2.3886359679536477</v>
      </c>
      <c r="CU97" s="102">
        <v>0.35112394526462065</v>
      </c>
      <c r="CV97" s="102">
        <v>2.8523144457428202</v>
      </c>
      <c r="CW97" s="102">
        <v>0.69981356223318991</v>
      </c>
      <c r="CX97" s="102">
        <v>0.62925690363686804</v>
      </c>
      <c r="CY97" s="102">
        <v>0.73249511546852175</v>
      </c>
      <c r="CZ97" s="102">
        <v>0.28061882272291544</v>
      </c>
    </row>
    <row r="98" spans="1:104">
      <c r="A98" s="81" t="s">
        <v>414</v>
      </c>
      <c r="C98" s="81" t="s">
        <v>420</v>
      </c>
      <c r="E98" s="81" t="s">
        <v>129</v>
      </c>
      <c r="F98" s="81" t="s">
        <v>130</v>
      </c>
      <c r="BE98" s="81">
        <v>49.44</v>
      </c>
      <c r="BF98" s="81">
        <v>0.84099999999999997</v>
      </c>
      <c r="BG98" s="81">
        <v>14.6</v>
      </c>
      <c r="BH98" s="81">
        <v>11.37</v>
      </c>
      <c r="BI98" s="81">
        <v>0.12</v>
      </c>
      <c r="BJ98" s="81">
        <v>9.69</v>
      </c>
      <c r="BK98" s="81">
        <v>9.4700000000000006</v>
      </c>
      <c r="BL98" s="81">
        <v>2.2799999999999998</v>
      </c>
      <c r="BM98" s="81">
        <v>0.11</v>
      </c>
      <c r="BN98" s="81">
        <v>6.2E-2</v>
      </c>
      <c r="BO98" s="81">
        <v>1.85</v>
      </c>
      <c r="BP98" s="102">
        <v>9.7922037971624025</v>
      </c>
      <c r="BQ98" s="102">
        <v>0.18258784148074886</v>
      </c>
      <c r="BR98" s="102">
        <v>51.265955516065787</v>
      </c>
      <c r="BS98" s="102">
        <v>350.22247957795179</v>
      </c>
      <c r="BT98" s="102">
        <v>84.558355796081258</v>
      </c>
      <c r="BU98" s="102">
        <v>51.421887262473142</v>
      </c>
      <c r="BV98" s="102">
        <v>71.715988505458881</v>
      </c>
      <c r="BW98" s="102">
        <v>154.71278500216553</v>
      </c>
      <c r="BX98" s="102">
        <v>75.374821207776094</v>
      </c>
      <c r="BY98" s="102">
        <v>15.052943667693929</v>
      </c>
      <c r="BZ98" s="102"/>
      <c r="CA98" s="102">
        <v>0.72278691397675954</v>
      </c>
      <c r="CB98" s="102">
        <v>79.746417708956045</v>
      </c>
      <c r="CC98" s="102">
        <v>20.471696583006494</v>
      </c>
      <c r="CD98" s="102">
        <v>43.662888358543867</v>
      </c>
      <c r="CE98" s="102">
        <v>1.965867643985892</v>
      </c>
      <c r="CF98" s="102">
        <v>1.3973218335838339E-2</v>
      </c>
      <c r="CG98" s="102">
        <v>14.680702569330009</v>
      </c>
      <c r="CH98" s="102">
        <v>2.1253178887456605</v>
      </c>
      <c r="CI98" s="102">
        <v>5.5591756172552227</v>
      </c>
      <c r="CJ98" s="102">
        <v>0.9060951223692959</v>
      </c>
      <c r="CK98" s="102">
        <v>4.6302692100486524</v>
      </c>
      <c r="CL98" s="102">
        <v>1.8250011396712156</v>
      </c>
      <c r="CM98" s="102">
        <v>0.73181247497121937</v>
      </c>
      <c r="CN98" s="102">
        <v>2.6544291771453556</v>
      </c>
      <c r="CO98" s="102">
        <v>0.52301534834999974</v>
      </c>
      <c r="CP98" s="102">
        <v>3.4893541995471922</v>
      </c>
      <c r="CQ98" s="102">
        <v>0.79596228220251297</v>
      </c>
      <c r="CR98" s="102">
        <v>2.345065951536689</v>
      </c>
      <c r="CS98" s="102">
        <v>0.38169206602920036</v>
      </c>
      <c r="CT98" s="102">
        <v>2.4451585179603064</v>
      </c>
      <c r="CU98" s="102">
        <v>0.38374157774788636</v>
      </c>
      <c r="CV98" s="102">
        <v>1.2767026318235637</v>
      </c>
      <c r="CW98" s="102">
        <v>0.13652848329474651</v>
      </c>
      <c r="CX98" s="102">
        <v>0.37418591741059098</v>
      </c>
      <c r="CY98" s="102">
        <v>0.25202662091132866</v>
      </c>
      <c r="CZ98" s="102">
        <v>8.1115932414249498E-2</v>
      </c>
    </row>
    <row r="99" spans="1:104">
      <c r="A99" s="81" t="s">
        <v>415</v>
      </c>
      <c r="C99" s="81" t="s">
        <v>421</v>
      </c>
      <c r="E99" s="81" t="s">
        <v>129</v>
      </c>
      <c r="F99" s="81" t="s">
        <v>130</v>
      </c>
      <c r="BE99" s="81">
        <v>49.78</v>
      </c>
      <c r="BF99" s="81">
        <v>0.81399999999999995</v>
      </c>
      <c r="BG99" s="81">
        <v>14.17</v>
      </c>
      <c r="BH99" s="81">
        <v>11.04</v>
      </c>
      <c r="BI99" s="81">
        <v>0.17799999999999999</v>
      </c>
      <c r="BJ99" s="81">
        <v>8.7799999999999994</v>
      </c>
      <c r="BK99" s="81">
        <v>12.34</v>
      </c>
      <c r="BL99" s="81">
        <v>1.96</v>
      </c>
      <c r="BM99" s="81">
        <v>0.05</v>
      </c>
      <c r="BN99" s="81">
        <v>5.8000000000000003E-2</v>
      </c>
      <c r="BO99" s="81">
        <v>0.56999999999999995</v>
      </c>
      <c r="BP99" s="102">
        <v>6.5732343955713324</v>
      </c>
      <c r="BQ99" s="102">
        <v>0.17230221290503278</v>
      </c>
      <c r="BR99" s="102">
        <v>51.106771709547111</v>
      </c>
      <c r="BS99" s="102">
        <v>346.79568031491948</v>
      </c>
      <c r="BT99" s="102">
        <v>98.068112282168869</v>
      </c>
      <c r="BU99" s="102">
        <v>50.873374648123523</v>
      </c>
      <c r="BV99" s="102">
        <v>77.658190344634733</v>
      </c>
      <c r="BW99" s="102">
        <v>156.21424244755784</v>
      </c>
      <c r="BX99" s="102">
        <v>75.3736588420077</v>
      </c>
      <c r="BY99" s="102">
        <v>14.918424324316879</v>
      </c>
      <c r="BZ99" s="102"/>
      <c r="CA99" s="102">
        <v>0.43465673379778619</v>
      </c>
      <c r="CB99" s="102">
        <v>77.221786162611863</v>
      </c>
      <c r="CC99" s="102">
        <v>23.820325328702008</v>
      </c>
      <c r="CD99" s="102">
        <v>43.964058036641049</v>
      </c>
      <c r="CE99" s="102">
        <v>1.8781546100293089</v>
      </c>
      <c r="CF99" s="102">
        <v>1.3387954649450612E-2</v>
      </c>
      <c r="CG99" s="102">
        <v>13.836575115598666</v>
      </c>
      <c r="CH99" s="102">
        <v>2.1180996748027145</v>
      </c>
      <c r="CI99" s="102">
        <v>5.6238893919138846</v>
      </c>
      <c r="CJ99" s="102">
        <v>0.93470855475587133</v>
      </c>
      <c r="CK99" s="102">
        <v>4.8526878449217836</v>
      </c>
      <c r="CL99" s="102">
        <v>1.9344255932227288</v>
      </c>
      <c r="CM99" s="102">
        <v>0.76931063323526416</v>
      </c>
      <c r="CN99" s="102">
        <v>2.9405230341646407</v>
      </c>
      <c r="CO99" s="102">
        <v>0.56386990338163911</v>
      </c>
      <c r="CP99" s="102">
        <v>3.8205370020921166</v>
      </c>
      <c r="CQ99" s="102">
        <v>0.88792088823709814</v>
      </c>
      <c r="CR99" s="102">
        <v>2.6327124749677933</v>
      </c>
      <c r="CS99" s="102">
        <v>0.42362769157417374</v>
      </c>
      <c r="CT99" s="102">
        <v>2.7316661959292934</v>
      </c>
      <c r="CU99" s="102">
        <v>0.42954475384198626</v>
      </c>
      <c r="CV99" s="102">
        <v>1.2980897796072077</v>
      </c>
      <c r="CW99" s="102">
        <v>0.12809563984883446</v>
      </c>
      <c r="CX99" s="102">
        <v>0.38214852239587466</v>
      </c>
      <c r="CY99" s="102">
        <v>0.2481610432832978</v>
      </c>
      <c r="CZ99" s="102">
        <v>6.266748420265543E-2</v>
      </c>
    </row>
    <row r="100" spans="1:104">
      <c r="A100" s="81" t="s">
        <v>416</v>
      </c>
      <c r="C100" s="81" t="s">
        <v>422</v>
      </c>
      <c r="E100" s="81" t="s">
        <v>129</v>
      </c>
      <c r="F100" s="81" t="s">
        <v>130</v>
      </c>
      <c r="BE100" s="81">
        <v>49.86</v>
      </c>
      <c r="BF100" s="81">
        <v>0.92600000000000005</v>
      </c>
      <c r="BG100" s="81">
        <v>14.9</v>
      </c>
      <c r="BH100" s="81">
        <v>10.24</v>
      </c>
      <c r="BI100" s="81">
        <v>0.16800000000000001</v>
      </c>
      <c r="BJ100" s="81">
        <v>8.9600000000000009</v>
      </c>
      <c r="BK100" s="81">
        <v>9.58</v>
      </c>
      <c r="BL100" s="81">
        <v>2.6</v>
      </c>
      <c r="BM100" s="81">
        <v>0.1</v>
      </c>
      <c r="BN100" s="81">
        <v>7.2999999999999995E-2</v>
      </c>
      <c r="BO100" s="81">
        <v>1.36</v>
      </c>
      <c r="BP100" s="102">
        <v>8.2575268916521054</v>
      </c>
      <c r="BQ100" s="102">
        <v>0.25261401041399129</v>
      </c>
      <c r="BR100" s="102">
        <v>48.007034355679167</v>
      </c>
      <c r="BS100" s="102">
        <v>351.55118440983011</v>
      </c>
      <c r="BT100" s="102">
        <v>202.08387674078506</v>
      </c>
      <c r="BU100" s="102">
        <v>46.646400389684878</v>
      </c>
      <c r="BV100" s="102">
        <v>66.83073573719534</v>
      </c>
      <c r="BW100" s="102">
        <v>112.45349569316595</v>
      </c>
      <c r="BX100" s="102">
        <v>79.461120197757623</v>
      </c>
      <c r="BY100" s="102">
        <v>16.488019637038061</v>
      </c>
      <c r="BZ100" s="102"/>
      <c r="CA100" s="102">
        <v>0.45205623587131932</v>
      </c>
      <c r="CB100" s="102">
        <v>98.691831073506179</v>
      </c>
      <c r="CC100" s="102">
        <v>23.534887174920755</v>
      </c>
      <c r="CD100" s="102">
        <v>56.744999172596096</v>
      </c>
      <c r="CE100" s="102">
        <v>3.1822276299304173</v>
      </c>
      <c r="CF100" s="102">
        <v>1.017398784636858E-2</v>
      </c>
      <c r="CG100" s="102">
        <v>21.498347417869574</v>
      </c>
      <c r="CH100" s="102">
        <v>3.3343643489124082</v>
      </c>
      <c r="CI100" s="102">
        <v>8.3446609026203973</v>
      </c>
      <c r="CJ100" s="102">
        <v>1.2919742538975563</v>
      </c>
      <c r="CK100" s="102">
        <v>6.2184532403925008</v>
      </c>
      <c r="CL100" s="102">
        <v>2.2974184659897712</v>
      </c>
      <c r="CM100" s="102">
        <v>0.87715557695006485</v>
      </c>
      <c r="CN100" s="102">
        <v>3.1935411691432742</v>
      </c>
      <c r="CO100" s="102">
        <v>0.61133511277373798</v>
      </c>
      <c r="CP100" s="102">
        <v>4.1020578157329917</v>
      </c>
      <c r="CQ100" s="102">
        <v>0.93094676634754459</v>
      </c>
      <c r="CR100" s="102">
        <v>2.7455051810157376</v>
      </c>
      <c r="CS100" s="102">
        <v>0.42931044699219367</v>
      </c>
      <c r="CT100" s="102">
        <v>2.8980269671532004</v>
      </c>
      <c r="CU100" s="102">
        <v>0.44816087356296969</v>
      </c>
      <c r="CV100" s="102">
        <v>1.6336973558852563</v>
      </c>
      <c r="CW100" s="102">
        <v>0.21936342786323473</v>
      </c>
      <c r="CX100" s="102">
        <v>0.55849279843119226</v>
      </c>
      <c r="CY100" s="102">
        <v>0.42109593709757542</v>
      </c>
      <c r="CZ100" s="102">
        <v>0.15399117737524645</v>
      </c>
    </row>
    <row r="101" spans="1:104">
      <c r="A101" s="81" t="s">
        <v>417</v>
      </c>
      <c r="C101" s="81" t="s">
        <v>423</v>
      </c>
      <c r="E101" s="81" t="s">
        <v>129</v>
      </c>
      <c r="F101" s="81" t="s">
        <v>130</v>
      </c>
      <c r="BE101" s="81">
        <v>50.99</v>
      </c>
      <c r="BF101" s="81">
        <v>1.2949999999999999</v>
      </c>
      <c r="BG101" s="81">
        <v>14.27</v>
      </c>
      <c r="BH101" s="81">
        <v>11.77</v>
      </c>
      <c r="BI101" s="81">
        <v>0.128</v>
      </c>
      <c r="BJ101" s="81">
        <v>8.3800000000000008</v>
      </c>
      <c r="BK101" s="81">
        <v>8.26</v>
      </c>
      <c r="BL101" s="81">
        <v>2.63</v>
      </c>
      <c r="BM101" s="81">
        <v>0.23</v>
      </c>
      <c r="BN101" s="81">
        <v>0.122</v>
      </c>
      <c r="BO101" s="81">
        <v>1.75</v>
      </c>
      <c r="BP101" s="102">
        <v>12.254032518540578</v>
      </c>
      <c r="BQ101" s="102">
        <v>0.35685541735892223</v>
      </c>
      <c r="BR101" s="102">
        <v>48.526075884122356</v>
      </c>
      <c r="BS101" s="102">
        <v>390.70203957307689</v>
      </c>
      <c r="BT101" s="102">
        <v>74.763980984899376</v>
      </c>
      <c r="BU101" s="102">
        <v>49.760198858575706</v>
      </c>
      <c r="BV101" s="102">
        <v>42.282613227031867</v>
      </c>
      <c r="BW101" s="102">
        <v>98.977919546244379</v>
      </c>
      <c r="BX101" s="102">
        <v>107.88615603449372</v>
      </c>
      <c r="BY101" s="102">
        <v>18.113464137698816</v>
      </c>
      <c r="BZ101" s="102"/>
      <c r="CA101" s="102">
        <v>2.6091974747614395</v>
      </c>
      <c r="CB101" s="102">
        <v>103.5841914964447</v>
      </c>
      <c r="CC101" s="102">
        <v>32.626175993833002</v>
      </c>
      <c r="CD101" s="102">
        <v>89.986004022410413</v>
      </c>
      <c r="CE101" s="102">
        <v>5.4106635850762563</v>
      </c>
      <c r="CF101" s="102">
        <v>1.3660581326812801E-2</v>
      </c>
      <c r="CG101" s="102">
        <v>65.557372657278052</v>
      </c>
      <c r="CH101" s="102">
        <v>5.9088552461827151</v>
      </c>
      <c r="CI101" s="102">
        <v>14.56268903117018</v>
      </c>
      <c r="CJ101" s="102">
        <v>2.1142380999047665</v>
      </c>
      <c r="CK101" s="102">
        <v>9.8902146389046433</v>
      </c>
      <c r="CL101" s="102">
        <v>3.3939593203980936</v>
      </c>
      <c r="CM101" s="102">
        <v>1.2343980804587884</v>
      </c>
      <c r="CN101" s="102">
        <v>4.5407577917621795</v>
      </c>
      <c r="CO101" s="102">
        <v>0.84802337711285747</v>
      </c>
      <c r="CP101" s="102">
        <v>5.6848294046892924</v>
      </c>
      <c r="CQ101" s="102">
        <v>1.2636586262121496</v>
      </c>
      <c r="CR101" s="102">
        <v>3.6858792112900516</v>
      </c>
      <c r="CS101" s="102">
        <v>0.57230366960204093</v>
      </c>
      <c r="CT101" s="102">
        <v>3.5794200943042989</v>
      </c>
      <c r="CU101" s="102">
        <v>0.56451654988394662</v>
      </c>
      <c r="CV101" s="102">
        <v>2.5647663414173865</v>
      </c>
      <c r="CW101" s="102">
        <v>0.36935102881519954</v>
      </c>
      <c r="CX101" s="102">
        <v>0.82042011810804238</v>
      </c>
      <c r="CY101" s="102">
        <v>0.83736020794890798</v>
      </c>
      <c r="CZ101" s="102">
        <v>0.22347421975114978</v>
      </c>
    </row>
    <row r="102" spans="1:104">
      <c r="A102" s="81" t="s">
        <v>418</v>
      </c>
      <c r="C102" s="81" t="s">
        <v>424</v>
      </c>
      <c r="E102" s="81" t="s">
        <v>129</v>
      </c>
      <c r="F102" s="81" t="s">
        <v>130</v>
      </c>
      <c r="BE102" s="81">
        <v>49.33</v>
      </c>
      <c r="BF102" s="81">
        <v>0.95899999999999996</v>
      </c>
      <c r="BG102" s="81">
        <v>16.29</v>
      </c>
      <c r="BH102" s="81">
        <v>10.14</v>
      </c>
      <c r="BI102" s="81">
        <v>0.14000000000000001</v>
      </c>
      <c r="BJ102" s="81">
        <v>7.91</v>
      </c>
      <c r="BK102" s="81">
        <v>10.99</v>
      </c>
      <c r="BL102" s="81">
        <v>2.35</v>
      </c>
      <c r="BM102" s="81">
        <v>7.0000000000000007E-2</v>
      </c>
      <c r="BN102" s="81">
        <v>8.5999999999999993E-2</v>
      </c>
      <c r="BO102" s="81">
        <v>1.72</v>
      </c>
      <c r="BP102" s="102">
        <v>6.8329573769121392</v>
      </c>
      <c r="BQ102" s="102">
        <v>0.25401553187175713</v>
      </c>
      <c r="BR102" s="102">
        <v>53.880689391667822</v>
      </c>
      <c r="BS102" s="102">
        <v>365.01170508340181</v>
      </c>
      <c r="BT102" s="102">
        <v>85.141834676236911</v>
      </c>
      <c r="BU102" s="102">
        <v>46.824471825408686</v>
      </c>
      <c r="BV102" s="102">
        <v>68.86531768972425</v>
      </c>
      <c r="BW102" s="102">
        <v>151.3025729807629</v>
      </c>
      <c r="BX102" s="102">
        <v>90.842589698894542</v>
      </c>
      <c r="BY102" s="102">
        <v>17.033440148553176</v>
      </c>
      <c r="BZ102" s="102"/>
      <c r="CA102" s="102">
        <v>0.52849435234206554</v>
      </c>
      <c r="CB102" s="102">
        <v>95.003625819424371</v>
      </c>
      <c r="CC102" s="102">
        <v>25.848412478095899</v>
      </c>
      <c r="CD102" s="102">
        <v>57.017390602137809</v>
      </c>
      <c r="CE102" s="102">
        <v>2.6055751202009012</v>
      </c>
      <c r="CF102" s="102">
        <v>6.2985740842695414E-3</v>
      </c>
      <c r="CG102" s="102">
        <v>20.877090776336235</v>
      </c>
      <c r="CH102" s="102">
        <v>4.344502082887729</v>
      </c>
      <c r="CI102" s="102">
        <v>10.543974861087461</v>
      </c>
      <c r="CJ102" s="102">
        <v>1.5410653721985808</v>
      </c>
      <c r="CK102" s="102">
        <v>7.3727382307644724</v>
      </c>
      <c r="CL102" s="102">
        <v>2.6032251797383981</v>
      </c>
      <c r="CM102" s="102">
        <v>0.97584875641056656</v>
      </c>
      <c r="CN102" s="102">
        <v>3.6787340892272056</v>
      </c>
      <c r="CO102" s="102">
        <v>0.68369918724806089</v>
      </c>
      <c r="CP102" s="102">
        <v>4.4675910352330375</v>
      </c>
      <c r="CQ102" s="102">
        <v>1.0090987283700279</v>
      </c>
      <c r="CR102" s="102">
        <v>2.8348539186907815</v>
      </c>
      <c r="CS102" s="102">
        <v>0.44692601848937435</v>
      </c>
      <c r="CT102" s="102">
        <v>2.8137634947800247</v>
      </c>
      <c r="CU102" s="102">
        <v>0.44474587684625455</v>
      </c>
      <c r="CV102" s="102">
        <v>1.6971653214823545</v>
      </c>
      <c r="CW102" s="102">
        <v>0.18961485354710553</v>
      </c>
      <c r="CX102" s="102">
        <v>0.9305294509151244</v>
      </c>
      <c r="CY102" s="102">
        <v>0.76265565912153011</v>
      </c>
      <c r="CZ102" s="102">
        <v>0.42867047186262475</v>
      </c>
    </row>
    <row r="103" spans="1:104">
      <c r="A103" s="81" t="s">
        <v>419</v>
      </c>
      <c r="C103" s="81" t="s">
        <v>425</v>
      </c>
      <c r="E103" s="81" t="s">
        <v>129</v>
      </c>
      <c r="F103" s="81" t="s">
        <v>130</v>
      </c>
      <c r="BE103" s="81">
        <v>49.64</v>
      </c>
      <c r="BF103" s="81">
        <v>1.206</v>
      </c>
      <c r="BG103" s="81">
        <v>13.78</v>
      </c>
      <c r="BH103" s="81">
        <v>13.63</v>
      </c>
      <c r="BI103" s="81">
        <v>0.19600000000000001</v>
      </c>
      <c r="BJ103" s="81">
        <v>8.4499999999999993</v>
      </c>
      <c r="BK103" s="81">
        <v>8.7200000000000006</v>
      </c>
      <c r="BL103" s="81">
        <v>2.72</v>
      </c>
      <c r="BM103" s="81">
        <v>0.06</v>
      </c>
      <c r="BN103" s="81">
        <v>9.1999999999999998E-2</v>
      </c>
      <c r="BO103" s="81">
        <v>1.76</v>
      </c>
      <c r="BP103" s="102">
        <v>7.4892051895390992</v>
      </c>
      <c r="BQ103" s="102">
        <v>0.26426190623272477</v>
      </c>
      <c r="BR103" s="102">
        <v>52.013895005161132</v>
      </c>
      <c r="BS103" s="102">
        <v>420.92940903643887</v>
      </c>
      <c r="BT103" s="102">
        <v>27.886277898069292</v>
      </c>
      <c r="BU103" s="102">
        <v>56.621282977413252</v>
      </c>
      <c r="BV103" s="102">
        <v>46.19404358289426</v>
      </c>
      <c r="BW103" s="102">
        <v>155.51930692597358</v>
      </c>
      <c r="BX103" s="102">
        <v>105.1749598865604</v>
      </c>
      <c r="BY103" s="102">
        <v>17.69312189546941</v>
      </c>
      <c r="BZ103" s="102"/>
      <c r="CA103" s="102">
        <v>0.47240323118798999</v>
      </c>
      <c r="CB103" s="102">
        <v>100.07720402724659</v>
      </c>
      <c r="CC103" s="102">
        <v>28.12296703728666</v>
      </c>
      <c r="CD103" s="102">
        <v>64.887845957808949</v>
      </c>
      <c r="CE103" s="102">
        <v>2.3361142647078639</v>
      </c>
      <c r="CF103" s="102">
        <v>1.4504346998496263E-2</v>
      </c>
      <c r="CG103" s="102">
        <v>16.715261176770706</v>
      </c>
      <c r="CH103" s="102">
        <v>3.0543986900937781</v>
      </c>
      <c r="CI103" s="102">
        <v>8.1029976855022312</v>
      </c>
      <c r="CJ103" s="102">
        <v>1.3267526073479496</v>
      </c>
      <c r="CK103" s="102">
        <v>6.8834377001903881</v>
      </c>
      <c r="CL103" s="102">
        <v>2.6938780793784423</v>
      </c>
      <c r="CM103" s="102">
        <v>1.0578482125475341</v>
      </c>
      <c r="CN103" s="102">
        <v>3.8447137284901238</v>
      </c>
      <c r="CO103" s="102">
        <v>0.72287876385006344</v>
      </c>
      <c r="CP103" s="102">
        <v>4.9458893396240331</v>
      </c>
      <c r="CQ103" s="102">
        <v>1.0995719603763838</v>
      </c>
      <c r="CR103" s="102">
        <v>3.2571897385576714</v>
      </c>
      <c r="CS103" s="102">
        <v>0.51702271125756794</v>
      </c>
      <c r="CT103" s="102">
        <v>3.2928498680064187</v>
      </c>
      <c r="CU103" s="102">
        <v>0.51919776019553732</v>
      </c>
      <c r="CV103" s="102">
        <v>1.9304187757565938</v>
      </c>
      <c r="CW103" s="102">
        <v>0.1628166402006434</v>
      </c>
      <c r="CX103" s="102">
        <v>0.85005959797914898</v>
      </c>
      <c r="CY103" s="102">
        <v>0.46376944159471789</v>
      </c>
      <c r="CZ103" s="102">
        <v>0.1444486996657689</v>
      </c>
    </row>
    <row r="104" spans="1:104">
      <c r="A104" s="81" t="s">
        <v>435</v>
      </c>
      <c r="C104" s="81" t="s">
        <v>426</v>
      </c>
      <c r="E104" s="81" t="s">
        <v>434</v>
      </c>
      <c r="F104" s="81" t="s">
        <v>130</v>
      </c>
      <c r="BE104" s="102">
        <v>67.400302885194691</v>
      </c>
      <c r="BF104" s="102">
        <v>0.75918366911406243</v>
      </c>
      <c r="BG104" s="102">
        <v>14.718912189872491</v>
      </c>
      <c r="BH104" s="102">
        <v>6.2193584613912929</v>
      </c>
      <c r="BI104" s="102">
        <v>9.6785762643037149E-2</v>
      </c>
      <c r="BJ104" s="102">
        <v>1.131841245851938</v>
      </c>
      <c r="BK104" s="102">
        <v>1.0181892903109446</v>
      </c>
      <c r="BL104" s="102">
        <v>2.057484509304603</v>
      </c>
      <c r="BM104" s="102">
        <v>3.4512691152563804</v>
      </c>
      <c r="BN104" s="102">
        <v>0.25587270517940175</v>
      </c>
      <c r="BO104" s="102">
        <v>3.1265647845856117</v>
      </c>
      <c r="BP104" s="102">
        <v>72.285676002201313</v>
      </c>
      <c r="BQ104" s="102">
        <v>2.2762010287428494</v>
      </c>
      <c r="BR104" s="102">
        <v>15.361644512907597</v>
      </c>
      <c r="BS104" s="102">
        <v>89.200652632584465</v>
      </c>
      <c r="BT104" s="102">
        <v>42.539733453713588</v>
      </c>
      <c r="BU104" s="102">
        <v>8.4748618678670393</v>
      </c>
      <c r="BV104" s="102">
        <v>19.986246205276618</v>
      </c>
      <c r="BW104" s="102">
        <v>18.815723211192612</v>
      </c>
      <c r="BX104" s="102">
        <v>92.337829196259634</v>
      </c>
      <c r="BY104" s="102">
        <v>20.560070012274394</v>
      </c>
      <c r="BZ104" s="102">
        <v>1.9570988966165199</v>
      </c>
      <c r="CA104" s="102">
        <v>141.90366141972493</v>
      </c>
      <c r="CB104" s="102">
        <v>89.491751044244722</v>
      </c>
      <c r="CC104" s="102">
        <v>47.384949159546146</v>
      </c>
      <c r="CD104" s="102">
        <v>97.456290411663119</v>
      </c>
      <c r="CE104" s="102">
        <v>12.336581084241628</v>
      </c>
      <c r="CF104" s="102">
        <v>7.0965269656444265</v>
      </c>
      <c r="CG104" s="102">
        <v>588.55009134066177</v>
      </c>
      <c r="CH104" s="102">
        <v>45.591374474671859</v>
      </c>
      <c r="CI104" s="102">
        <v>103.36362955794822</v>
      </c>
      <c r="CJ104" s="102">
        <v>11.430136527401764</v>
      </c>
      <c r="CK104" s="102">
        <v>46.314202720841848</v>
      </c>
      <c r="CL104" s="102">
        <v>10.227817045049113</v>
      </c>
      <c r="CM104" s="102">
        <v>1.2276527790480298</v>
      </c>
      <c r="CN104" s="102">
        <v>9.5667761090956915</v>
      </c>
      <c r="CO104" s="102">
        <v>1.5724022564864402</v>
      </c>
      <c r="CP104" s="102">
        <v>9.1933392906762919</v>
      </c>
      <c r="CQ104" s="102">
        <v>1.8294356546608195</v>
      </c>
      <c r="CR104" s="102">
        <v>5.0240494769512356</v>
      </c>
      <c r="CS104" s="102">
        <v>0.72528381888204663</v>
      </c>
      <c r="CT104" s="102">
        <v>4.2910072218672886</v>
      </c>
      <c r="CU104" s="102">
        <v>0.62390797766669015</v>
      </c>
      <c r="CV104" s="102">
        <v>3.0127399658074623</v>
      </c>
      <c r="CW104" s="102">
        <v>0.83389016878533329</v>
      </c>
      <c r="CX104" s="102">
        <v>23.607375975831193</v>
      </c>
      <c r="CY104" s="102">
        <v>16.055737277768511</v>
      </c>
      <c r="CZ104" s="102">
        <v>1.9378791105126603</v>
      </c>
    </row>
    <row r="105" spans="1:104">
      <c r="A105" s="81" t="s">
        <v>436</v>
      </c>
      <c r="C105" s="81" t="s">
        <v>427</v>
      </c>
      <c r="E105" s="81" t="s">
        <v>434</v>
      </c>
      <c r="F105" s="81" t="s">
        <v>130</v>
      </c>
      <c r="BE105" s="102">
        <v>68.499586827242993</v>
      </c>
      <c r="BF105" s="102">
        <v>0.69863453872954717</v>
      </c>
      <c r="BG105" s="102">
        <v>14.389795324770551</v>
      </c>
      <c r="BH105" s="102">
        <v>5.9759006164618622</v>
      </c>
      <c r="BI105" s="102">
        <v>0.10754441138493</v>
      </c>
      <c r="BJ105" s="102">
        <v>1.105026721611444</v>
      </c>
      <c r="BK105" s="102">
        <v>0.89539565011637268</v>
      </c>
      <c r="BL105" s="102">
        <v>2.1657213467676741</v>
      </c>
      <c r="BM105" s="102">
        <v>3.5372216570124695</v>
      </c>
      <c r="BN105" s="102">
        <v>0.25869113513312364</v>
      </c>
      <c r="BO105" s="102">
        <v>2.9390681003588286</v>
      </c>
      <c r="BP105" s="102">
        <v>73.198959863465589</v>
      </c>
      <c r="BQ105" s="102">
        <v>2.0751524890288344</v>
      </c>
      <c r="BR105" s="102">
        <v>15.577565851640601</v>
      </c>
      <c r="BS105" s="102">
        <v>82.58513588413858</v>
      </c>
      <c r="BT105" s="102">
        <v>38.270062979983365</v>
      </c>
      <c r="BU105" s="102">
        <v>10.55905945379229</v>
      </c>
      <c r="BV105" s="102">
        <v>21.369268777290824</v>
      </c>
      <c r="BW105" s="102">
        <v>21.930469629536255</v>
      </c>
      <c r="BX105" s="102">
        <v>90.438770942733271</v>
      </c>
      <c r="BY105" s="102">
        <v>20.575723959748537</v>
      </c>
      <c r="BZ105" s="102">
        <v>2.0852396417957872</v>
      </c>
      <c r="CA105" s="102">
        <v>152.49588251239516</v>
      </c>
      <c r="CB105" s="102">
        <v>83.350429252894202</v>
      </c>
      <c r="CC105" s="102">
        <v>49.622777218579166</v>
      </c>
      <c r="CD105" s="102">
        <v>83.490171207389068</v>
      </c>
      <c r="CE105" s="102">
        <v>12.472443917012361</v>
      </c>
      <c r="CF105" s="102">
        <v>6.7319609205847097</v>
      </c>
      <c r="CG105" s="102">
        <v>624.64316011355038</v>
      </c>
      <c r="CH105" s="102">
        <v>42.738582365336313</v>
      </c>
      <c r="CI105" s="102">
        <v>92.905853257470966</v>
      </c>
      <c r="CJ105" s="102">
        <v>10.594676643771095</v>
      </c>
      <c r="CK105" s="102">
        <v>42.760681714382535</v>
      </c>
      <c r="CL105" s="102">
        <v>9.5656239911041911</v>
      </c>
      <c r="CM105" s="102">
        <v>1.2142769031624259</v>
      </c>
      <c r="CN105" s="102">
        <v>9.3025144327211873</v>
      </c>
      <c r="CO105" s="102">
        <v>1.5822593761183825</v>
      </c>
      <c r="CP105" s="102">
        <v>9.2942316412591328</v>
      </c>
      <c r="CQ105" s="102">
        <v>1.8905894149385383</v>
      </c>
      <c r="CR105" s="102">
        <v>5.2128641389629573</v>
      </c>
      <c r="CS105" s="102">
        <v>0.74368936938285857</v>
      </c>
      <c r="CT105" s="102">
        <v>4.5364625187274985</v>
      </c>
      <c r="CU105" s="102">
        <v>0.65014656632529577</v>
      </c>
      <c r="CV105" s="102">
        <v>2.7559196137892714</v>
      </c>
      <c r="CW105" s="102">
        <v>0.93494838730122609</v>
      </c>
      <c r="CX105" s="102">
        <v>24.633135178564494</v>
      </c>
      <c r="CY105" s="102">
        <v>15.187864535990077</v>
      </c>
      <c r="CZ105" s="102">
        <v>2.1345063716265886</v>
      </c>
    </row>
    <row r="106" spans="1:104">
      <c r="A106" s="81" t="s">
        <v>437</v>
      </c>
      <c r="C106" s="81" t="s">
        <v>428</v>
      </c>
      <c r="E106" s="81" t="s">
        <v>434</v>
      </c>
      <c r="F106" s="81" t="s">
        <v>130</v>
      </c>
      <c r="BE106" s="102">
        <v>64.39</v>
      </c>
      <c r="BF106" s="102">
        <v>0.78</v>
      </c>
      <c r="BG106" s="102">
        <v>15.61</v>
      </c>
      <c r="BH106" s="102">
        <v>7.16</v>
      </c>
      <c r="BI106" s="102">
        <v>0.15</v>
      </c>
      <c r="BJ106" s="102">
        <v>1.44</v>
      </c>
      <c r="BK106" s="102">
        <v>0.49</v>
      </c>
      <c r="BL106" s="102">
        <v>1.39</v>
      </c>
      <c r="BM106" s="102">
        <v>3.57</v>
      </c>
      <c r="BN106" s="102">
        <v>0.22</v>
      </c>
      <c r="BO106" s="102">
        <v>3.35</v>
      </c>
      <c r="BP106" s="102">
        <v>82.437865342131417</v>
      </c>
      <c r="BQ106" s="102">
        <v>2.7216269548356098</v>
      </c>
      <c r="BR106" s="102">
        <v>17.33051908152818</v>
      </c>
      <c r="BS106" s="102">
        <v>103.01182271703897</v>
      </c>
      <c r="BT106" s="102">
        <v>46.883423288252835</v>
      </c>
      <c r="BU106" s="102">
        <v>8.6494409499072713</v>
      </c>
      <c r="BV106" s="102">
        <v>20.772758679051098</v>
      </c>
      <c r="BW106" s="102">
        <v>9.6825079716699651</v>
      </c>
      <c r="BX106" s="102">
        <v>69.719022883003333</v>
      </c>
      <c r="BY106" s="102">
        <v>22.937870236391092</v>
      </c>
      <c r="BZ106" s="102">
        <v>2.3113472494435383</v>
      </c>
      <c r="CA106" s="102">
        <v>146.96221129644792</v>
      </c>
      <c r="CB106" s="102">
        <v>70.056923668154994</v>
      </c>
      <c r="CC106" s="102">
        <v>48.671088987705076</v>
      </c>
      <c r="CD106" s="102">
        <v>116.6194220064481</v>
      </c>
      <c r="CE106" s="102">
        <v>12.57566917958512</v>
      </c>
      <c r="CF106" s="102">
        <v>12.13863515404193</v>
      </c>
      <c r="CG106" s="102">
        <v>575.43108095142259</v>
      </c>
      <c r="CH106" s="102">
        <v>48.874849667020683</v>
      </c>
      <c r="CI106" s="102">
        <v>87.384586419470466</v>
      </c>
      <c r="CJ106" s="102">
        <v>11.370923976490502</v>
      </c>
      <c r="CK106" s="102">
        <v>44.589701625504794</v>
      </c>
      <c r="CL106" s="102">
        <v>9.7676715647406915</v>
      </c>
      <c r="CM106" s="102">
        <v>1.2164402927702853</v>
      </c>
      <c r="CN106" s="102">
        <v>9.0563719605795168</v>
      </c>
      <c r="CO106" s="102">
        <v>1.5440345808730691</v>
      </c>
      <c r="CP106" s="102">
        <v>9.0471118521502376</v>
      </c>
      <c r="CQ106" s="102">
        <v>1.8146942399635815</v>
      </c>
      <c r="CR106" s="102">
        <v>4.916814706703768</v>
      </c>
      <c r="CS106" s="102">
        <v>0.72956674199050675</v>
      </c>
      <c r="CT106" s="102">
        <v>4.4277128691888841</v>
      </c>
      <c r="CU106" s="102">
        <v>0.6362168765714612</v>
      </c>
      <c r="CV106" s="102">
        <v>3.6183631063299626</v>
      </c>
      <c r="CW106" s="102">
        <v>0.76623347483954174</v>
      </c>
      <c r="CX106" s="102">
        <v>18.678703314024592</v>
      </c>
      <c r="CY106" s="102">
        <v>14.243666983781292</v>
      </c>
      <c r="CZ106" s="102">
        <v>3.2353916610494804</v>
      </c>
    </row>
    <row r="107" spans="1:104">
      <c r="A107" s="81" t="s">
        <v>438</v>
      </c>
      <c r="C107" s="81" t="s">
        <v>429</v>
      </c>
      <c r="E107" s="81" t="s">
        <v>434</v>
      </c>
      <c r="F107" s="81" t="s">
        <v>130</v>
      </c>
      <c r="BE107" s="102">
        <v>67.442291232823067</v>
      </c>
      <c r="BF107" s="102">
        <v>0.69369082828493844</v>
      </c>
      <c r="BG107" s="102">
        <v>14.57604478076353</v>
      </c>
      <c r="BH107" s="102">
        <v>6.1699501828438388</v>
      </c>
      <c r="BI107" s="102">
        <v>9.9146041791044776E-2</v>
      </c>
      <c r="BJ107" s="102">
        <v>1.1179876470588235</v>
      </c>
      <c r="BK107" s="102">
        <v>0.60976264895209586</v>
      </c>
      <c r="BL107" s="102">
        <v>1.6973297274902133</v>
      </c>
      <c r="BM107" s="102">
        <v>3.7086866843989772</v>
      </c>
      <c r="BN107" s="102">
        <v>0.2494620456893768</v>
      </c>
      <c r="BO107" s="102">
        <v>3.5988095941974421</v>
      </c>
      <c r="BP107" s="102">
        <v>95.144453610587931</v>
      </c>
      <c r="BQ107" s="102">
        <v>2.2962124155802015</v>
      </c>
      <c r="BR107" s="102">
        <v>15.127661340781014</v>
      </c>
      <c r="BS107" s="102">
        <v>82.423589229596146</v>
      </c>
      <c r="BT107" s="102">
        <v>44.346780589264014</v>
      </c>
      <c r="BU107" s="102">
        <v>9.9876108164479493</v>
      </c>
      <c r="BV107" s="102">
        <v>18.295590677772097</v>
      </c>
      <c r="BW107" s="102">
        <v>16.015376720723975</v>
      </c>
      <c r="BX107" s="102">
        <v>59.152316298998009</v>
      </c>
      <c r="BY107" s="102">
        <v>20.891027451111587</v>
      </c>
      <c r="BZ107" s="102">
        <v>1.9951378171867582</v>
      </c>
      <c r="CA107" s="102">
        <v>165.80408490070718</v>
      </c>
      <c r="CB107" s="102">
        <v>71.586978821905845</v>
      </c>
      <c r="CC107" s="102">
        <v>50.689268276850854</v>
      </c>
      <c r="CD107" s="102">
        <v>103.26429101623415</v>
      </c>
      <c r="CE107" s="102">
        <v>9.0050176897139007</v>
      </c>
      <c r="CF107" s="102">
        <v>5.6123970514930219</v>
      </c>
      <c r="CG107" s="102">
        <v>882.2624120443752</v>
      </c>
      <c r="CH107" s="102">
        <v>42.010693801685868</v>
      </c>
      <c r="CI107" s="102">
        <v>92.56819397662376</v>
      </c>
      <c r="CJ107" s="102">
        <v>10.801578413938129</v>
      </c>
      <c r="CK107" s="102">
        <v>43.83557631639767</v>
      </c>
      <c r="CL107" s="102">
        <v>9.9465645183892466</v>
      </c>
      <c r="CM107" s="102">
        <v>1.1803249104200484</v>
      </c>
      <c r="CN107" s="102">
        <v>9.5702209039728618</v>
      </c>
      <c r="CO107" s="102">
        <v>1.6224858288312427</v>
      </c>
      <c r="CP107" s="102">
        <v>9.6067322290195669</v>
      </c>
      <c r="CQ107" s="102">
        <v>1.9194454352631127</v>
      </c>
      <c r="CR107" s="102">
        <v>5.340842652472781</v>
      </c>
      <c r="CS107" s="102">
        <v>0.77447212611666849</v>
      </c>
      <c r="CT107" s="102">
        <v>4.6340430803401693</v>
      </c>
      <c r="CU107" s="102">
        <v>0.65353231897555919</v>
      </c>
      <c r="CV107" s="102">
        <v>3.2522307510727386</v>
      </c>
      <c r="CW107" s="102">
        <v>0.40788838528135679</v>
      </c>
      <c r="CX107" s="102">
        <v>20.021631237702028</v>
      </c>
      <c r="CY107" s="102">
        <v>15.103680444371177</v>
      </c>
      <c r="CZ107" s="102">
        <v>2.9550935808107242</v>
      </c>
    </row>
    <row r="108" spans="1:104">
      <c r="A108" s="81" t="s">
        <v>1480</v>
      </c>
      <c r="C108" s="81" t="s">
        <v>430</v>
      </c>
      <c r="E108" s="81" t="s">
        <v>434</v>
      </c>
      <c r="F108" s="81" t="s">
        <v>130</v>
      </c>
      <c r="BE108" s="102">
        <v>68.354054680478967</v>
      </c>
      <c r="BF108" s="102">
        <v>0.7501638099393666</v>
      </c>
      <c r="BG108" s="102">
        <v>14.046664635817105</v>
      </c>
      <c r="BH108" s="102">
        <v>5.8626274277022645</v>
      </c>
      <c r="BI108" s="102">
        <v>0.21446682800044337</v>
      </c>
      <c r="BJ108" s="102">
        <v>0.87761891776953527</v>
      </c>
      <c r="BK108" s="102">
        <v>0.52327405043114805</v>
      </c>
      <c r="BL108" s="102">
        <v>1.729812916799103</v>
      </c>
      <c r="BM108" s="102">
        <v>3.741893602191539</v>
      </c>
      <c r="BN108" s="102">
        <v>0.12295660223158304</v>
      </c>
      <c r="BO108" s="102">
        <v>3.3777794905392606</v>
      </c>
      <c r="BP108" s="102">
        <v>101.8853469824496</v>
      </c>
      <c r="BQ108" s="102">
        <v>1.7365177788146664</v>
      </c>
      <c r="BR108" s="102">
        <v>16.228360339076094</v>
      </c>
      <c r="BS108" s="102">
        <v>94.264820029887574</v>
      </c>
      <c r="BT108" s="102">
        <v>45.071159111843102</v>
      </c>
      <c r="BU108" s="102">
        <v>9.7233338966947827</v>
      </c>
      <c r="BV108" s="102">
        <v>18.289917446249603</v>
      </c>
      <c r="BW108" s="102">
        <v>17.146426077886908</v>
      </c>
      <c r="BX108" s="102">
        <v>68.051291194297463</v>
      </c>
      <c r="BY108" s="102">
        <v>19.284642437011975</v>
      </c>
      <c r="BZ108" s="102">
        <v>2.0841784789071229</v>
      </c>
      <c r="CA108" s="102">
        <v>162.60848423395129</v>
      </c>
      <c r="CB108" s="102">
        <v>69.767671776396782</v>
      </c>
      <c r="CC108" s="102">
        <v>38.086076988931779</v>
      </c>
      <c r="CD108" s="102">
        <v>120.63524335253167</v>
      </c>
      <c r="CE108" s="102">
        <v>13.196840657755368</v>
      </c>
      <c r="CF108" s="102">
        <v>6.8035338784100183</v>
      </c>
      <c r="CG108" s="102">
        <v>839.85849656700793</v>
      </c>
      <c r="CH108" s="102">
        <v>38.44910053467833</v>
      </c>
      <c r="CI108" s="102">
        <v>111.94353782074245</v>
      </c>
      <c r="CJ108" s="102">
        <v>9.5149900734059116</v>
      </c>
      <c r="CK108" s="102">
        <v>37.941072600860366</v>
      </c>
      <c r="CL108" s="102">
        <v>8.2358464297582294</v>
      </c>
      <c r="CM108" s="102">
        <v>1.0868551085312084</v>
      </c>
      <c r="CN108" s="102">
        <v>7.692575788136911</v>
      </c>
      <c r="CO108" s="102">
        <v>1.2568391057101491</v>
      </c>
      <c r="CP108" s="102">
        <v>7.4181347263546336</v>
      </c>
      <c r="CQ108" s="102">
        <v>1.4942254231181884</v>
      </c>
      <c r="CR108" s="102">
        <v>4.2414006315811825</v>
      </c>
      <c r="CS108" s="102">
        <v>0.63720366100013182</v>
      </c>
      <c r="CT108" s="102">
        <v>3.8555369181683865</v>
      </c>
      <c r="CU108" s="102">
        <v>0.57078021466942863</v>
      </c>
      <c r="CV108" s="102">
        <v>3.7788130693057358</v>
      </c>
      <c r="CW108" s="102">
        <v>1.0195558099398772</v>
      </c>
      <c r="CX108" s="102">
        <v>33.973544735350423</v>
      </c>
      <c r="CY108" s="102">
        <v>14.727822520655909</v>
      </c>
      <c r="CZ108" s="102">
        <v>3.428870829723238</v>
      </c>
    </row>
    <row r="109" spans="1:104">
      <c r="A109" s="81" t="s">
        <v>1480</v>
      </c>
      <c r="C109" s="81" t="s">
        <v>431</v>
      </c>
      <c r="E109" s="81" t="s">
        <v>434</v>
      </c>
      <c r="F109" s="81" t="s">
        <v>130</v>
      </c>
      <c r="BE109" s="102">
        <v>66.553528958704163</v>
      </c>
      <c r="BF109" s="102">
        <v>0.79919224462084815</v>
      </c>
      <c r="BG109" s="102">
        <v>14.370972047998519</v>
      </c>
      <c r="BH109" s="102">
        <v>6.0331483924606015</v>
      </c>
      <c r="BI109" s="102">
        <v>0.12791684552238808</v>
      </c>
      <c r="BJ109" s="102">
        <v>0.8890567914438503</v>
      </c>
      <c r="BK109" s="102">
        <v>0.5735339865269462</v>
      </c>
      <c r="BL109" s="102">
        <v>1.4730732629404093</v>
      </c>
      <c r="BM109" s="102">
        <v>3.468280560869565</v>
      </c>
      <c r="BN109" s="102">
        <v>0.11705352308685826</v>
      </c>
      <c r="BO109" s="102">
        <v>4.1416326203633886</v>
      </c>
      <c r="BP109" s="102">
        <v>107.77072095149363</v>
      </c>
      <c r="BQ109" s="102">
        <v>2.0014039658274236</v>
      </c>
      <c r="BR109" s="102">
        <v>17.001942911753524</v>
      </c>
      <c r="BS109" s="102">
        <v>99.85184440735766</v>
      </c>
      <c r="BT109" s="102">
        <v>50.438612647855194</v>
      </c>
      <c r="BU109" s="102">
        <v>8.7091519608850145</v>
      </c>
      <c r="BV109" s="102">
        <v>19.468070738134955</v>
      </c>
      <c r="BW109" s="102">
        <v>14.726450517004595</v>
      </c>
      <c r="BX109" s="102">
        <v>83.267880410484381</v>
      </c>
      <c r="BY109" s="102">
        <v>21.237898048355106</v>
      </c>
      <c r="BZ109" s="102">
        <v>2.1079142571957217</v>
      </c>
      <c r="CA109" s="102">
        <v>150.9485778300301</v>
      </c>
      <c r="CB109" s="102">
        <v>62.807189005268675</v>
      </c>
      <c r="CC109" s="102">
        <v>38.837053526309937</v>
      </c>
      <c r="CD109" s="102">
        <v>111.09950891234513</v>
      </c>
      <c r="CE109" s="102">
        <v>12.422946735461881</v>
      </c>
      <c r="CF109" s="102">
        <v>7.6495641080449879</v>
      </c>
      <c r="CG109" s="102">
        <v>611.7096563558423</v>
      </c>
      <c r="CH109" s="102">
        <v>38.469530919968115</v>
      </c>
      <c r="CI109" s="102">
        <v>83.450839258727015</v>
      </c>
      <c r="CJ109" s="102">
        <v>9.4771205795860016</v>
      </c>
      <c r="CK109" s="102">
        <v>37.778960750131809</v>
      </c>
      <c r="CL109" s="102">
        <v>8.1523074096549788</v>
      </c>
      <c r="CM109" s="102">
        <v>1.0307223158416374</v>
      </c>
      <c r="CN109" s="102">
        <v>7.6832698110060802</v>
      </c>
      <c r="CO109" s="102">
        <v>1.2630130637007564</v>
      </c>
      <c r="CP109" s="102">
        <v>7.4584351777963853</v>
      </c>
      <c r="CQ109" s="102">
        <v>1.516580622788553</v>
      </c>
      <c r="CR109" s="102">
        <v>4.2617669718555726</v>
      </c>
      <c r="CS109" s="102">
        <v>0.63386249431538388</v>
      </c>
      <c r="CT109" s="102">
        <v>3.9027222076637922</v>
      </c>
      <c r="CU109" s="102">
        <v>0.57082679846139595</v>
      </c>
      <c r="CV109" s="102">
        <v>3.5542228969688061</v>
      </c>
      <c r="CW109" s="102">
        <v>0.59994013866420648</v>
      </c>
      <c r="CX109" s="102">
        <v>23.728043789938027</v>
      </c>
      <c r="CY109" s="102">
        <v>15.166218407813478</v>
      </c>
      <c r="CZ109" s="102">
        <v>3.7201254423070234</v>
      </c>
    </row>
    <row r="110" spans="1:104">
      <c r="A110" s="81" t="s">
        <v>1481</v>
      </c>
      <c r="C110" s="81" t="s">
        <v>432</v>
      </c>
      <c r="E110" s="81" t="s">
        <v>434</v>
      </c>
      <c r="F110" s="81" t="s">
        <v>130</v>
      </c>
      <c r="BE110" s="102">
        <v>65.923883154949309</v>
      </c>
      <c r="BF110" s="102">
        <v>0.75027829441485716</v>
      </c>
      <c r="BG110" s="102">
        <v>14.944048499355985</v>
      </c>
      <c r="BH110" s="102">
        <v>6.2881534217086363</v>
      </c>
      <c r="BI110" s="102">
        <v>0.15930312261570936</v>
      </c>
      <c r="BJ110" s="102">
        <v>1.2382490621548432</v>
      </c>
      <c r="BK110" s="102">
        <v>0.65282924237248263</v>
      </c>
      <c r="BL110" s="102">
        <v>1.8605945230897736</v>
      </c>
      <c r="BM110" s="102">
        <v>3.0600313080282855</v>
      </c>
      <c r="BN110" s="102">
        <v>0.28510443849608297</v>
      </c>
      <c r="BO110" s="102">
        <v>3.3588814291091729</v>
      </c>
      <c r="BP110" s="102">
        <v>115.90914459576258</v>
      </c>
      <c r="BQ110" s="102">
        <v>2.063336913016832</v>
      </c>
      <c r="BR110" s="102">
        <v>15.423855243032742</v>
      </c>
      <c r="BS110" s="102">
        <v>85.326474030947395</v>
      </c>
      <c r="BT110" s="102">
        <v>41.810744963213629</v>
      </c>
      <c r="BU110" s="102">
        <v>13.652059212259145</v>
      </c>
      <c r="BV110" s="102">
        <v>21.447204902065518</v>
      </c>
      <c r="BW110" s="102">
        <v>20.52466721912019</v>
      </c>
      <c r="BX110" s="102">
        <v>64.877432542095207</v>
      </c>
      <c r="BY110" s="102">
        <v>21.350012396430152</v>
      </c>
      <c r="BZ110" s="102">
        <v>2.0477502436486583</v>
      </c>
      <c r="CA110" s="102">
        <v>157.75906154236506</v>
      </c>
      <c r="CB110" s="102">
        <v>72.850932867185335</v>
      </c>
      <c r="CC110" s="102">
        <v>55.482474135798952</v>
      </c>
      <c r="CD110" s="102">
        <v>126.95744285176819</v>
      </c>
      <c r="CE110" s="102">
        <v>12.502346571570213</v>
      </c>
      <c r="CF110" s="102">
        <v>8.7508003736555775</v>
      </c>
      <c r="CG110" s="102">
        <v>916.35664119382307</v>
      </c>
      <c r="CH110" s="102">
        <v>46.700682683113193</v>
      </c>
      <c r="CI110" s="102">
        <v>109.83612741925188</v>
      </c>
      <c r="CJ110" s="102">
        <v>11.673346832710623</v>
      </c>
      <c r="CK110" s="102">
        <v>46.815018024862532</v>
      </c>
      <c r="CL110" s="102">
        <v>10.754077509367155</v>
      </c>
      <c r="CM110" s="102">
        <v>1.3893354943800136</v>
      </c>
      <c r="CN110" s="102">
        <v>10.247912706695404</v>
      </c>
      <c r="CO110" s="102">
        <v>1.7538267108883674</v>
      </c>
      <c r="CP110" s="102">
        <v>10.360789317182281</v>
      </c>
      <c r="CQ110" s="102">
        <v>2.0628738985262873</v>
      </c>
      <c r="CR110" s="102">
        <v>5.8114614651965368</v>
      </c>
      <c r="CS110" s="102">
        <v>0.84552204496688999</v>
      </c>
      <c r="CT110" s="102">
        <v>5.0810697862350169</v>
      </c>
      <c r="CU110" s="102">
        <v>0.69866550335497668</v>
      </c>
      <c r="CV110" s="102">
        <v>3.8754940930023252</v>
      </c>
      <c r="CW110" s="102">
        <v>0.98563197908790001</v>
      </c>
      <c r="CX110" s="102">
        <v>23.210342605854308</v>
      </c>
      <c r="CY110" s="102">
        <v>16.260332341231326</v>
      </c>
      <c r="CZ110" s="102">
        <v>3.5852727781398479</v>
      </c>
    </row>
    <row r="111" spans="1:104">
      <c r="A111" s="81" t="s">
        <v>1482</v>
      </c>
      <c r="C111" s="81" t="s">
        <v>433</v>
      </c>
      <c r="E111" s="81" t="s">
        <v>434</v>
      </c>
      <c r="F111" s="81" t="s">
        <v>130</v>
      </c>
      <c r="BE111" s="102">
        <v>66.41</v>
      </c>
      <c r="BF111" s="102">
        <v>0.79</v>
      </c>
      <c r="BG111" s="102">
        <v>14.66</v>
      </c>
      <c r="BH111" s="102">
        <v>6.08</v>
      </c>
      <c r="BI111" s="102">
        <v>0.12</v>
      </c>
      <c r="BJ111" s="102">
        <v>0.84</v>
      </c>
      <c r="BK111" s="102">
        <v>0.56999999999999995</v>
      </c>
      <c r="BL111" s="102">
        <v>1.55</v>
      </c>
      <c r="BM111" s="102">
        <v>3.82</v>
      </c>
      <c r="BN111" s="102">
        <v>0.12</v>
      </c>
      <c r="BO111" s="102">
        <v>4.0999999999999996</v>
      </c>
      <c r="BP111" s="102">
        <v>107.35606396937871</v>
      </c>
      <c r="BQ111" s="102">
        <v>1.9693881128325281</v>
      </c>
      <c r="BR111" s="102">
        <v>18.072441692508686</v>
      </c>
      <c r="BS111" s="102">
        <v>99.16114704534499</v>
      </c>
      <c r="BT111" s="102">
        <v>49.886282396598212</v>
      </c>
      <c r="BU111" s="102">
        <v>14.803338906624829</v>
      </c>
      <c r="BV111" s="102">
        <v>25.954825926958804</v>
      </c>
      <c r="BW111" s="102">
        <v>38.453556165382253</v>
      </c>
      <c r="BX111" s="102">
        <v>63.63612406083876</v>
      </c>
      <c r="BY111" s="102">
        <v>21.70318543561104</v>
      </c>
      <c r="BZ111" s="102">
        <v>2.1868847562936091</v>
      </c>
      <c r="CA111" s="102">
        <v>164.27321902935458</v>
      </c>
      <c r="CB111" s="102">
        <v>56.906557299307558</v>
      </c>
      <c r="CC111" s="102">
        <v>55.65645392977482</v>
      </c>
      <c r="CD111" s="102">
        <v>128.59181451226621</v>
      </c>
      <c r="CE111" s="102">
        <v>11.026252814078246</v>
      </c>
      <c r="CF111" s="102">
        <v>9.7902722133886222</v>
      </c>
      <c r="CG111" s="102">
        <v>606.30999934345061</v>
      </c>
      <c r="CH111" s="102">
        <v>42.137142848209038</v>
      </c>
      <c r="CI111" s="102">
        <v>101.21778120975257</v>
      </c>
      <c r="CJ111" s="102">
        <v>10.987611529126001</v>
      </c>
      <c r="CK111" s="102">
        <v>45.056677699477298</v>
      </c>
      <c r="CL111" s="102">
        <v>10.540365071263476</v>
      </c>
      <c r="CM111" s="102">
        <v>1.5325536432758848</v>
      </c>
      <c r="CN111" s="102">
        <v>10.154945647303457</v>
      </c>
      <c r="CO111" s="102">
        <v>1.7618364824517683</v>
      </c>
      <c r="CP111" s="102">
        <v>10.450073049219844</v>
      </c>
      <c r="CQ111" s="102">
        <v>2.1004053343440914</v>
      </c>
      <c r="CR111" s="102">
        <v>5.8461503110046609</v>
      </c>
      <c r="CS111" s="102">
        <v>0.86390746580398492</v>
      </c>
      <c r="CT111" s="102">
        <v>5.0701055892327114</v>
      </c>
      <c r="CU111" s="102">
        <v>0.71543889930721916</v>
      </c>
      <c r="CV111" s="102">
        <v>3.9151412282621068</v>
      </c>
      <c r="CW111" s="102">
        <v>0.76573475397705892</v>
      </c>
      <c r="CX111" s="102">
        <v>20.473805982527065</v>
      </c>
      <c r="CY111" s="102">
        <v>15.556065359733422</v>
      </c>
      <c r="CZ111" s="102">
        <v>4.9303213857060584</v>
      </c>
    </row>
    <row r="112" spans="1:104">
      <c r="A112" s="81" t="s">
        <v>1483</v>
      </c>
      <c r="C112" s="81" t="s">
        <v>1479</v>
      </c>
      <c r="E112" s="81" t="s">
        <v>434</v>
      </c>
      <c r="F112" s="81" t="s">
        <v>130</v>
      </c>
      <c r="BE112" s="102">
        <v>73.364000000000004</v>
      </c>
      <c r="BF112" s="102">
        <v>0.68600000000000005</v>
      </c>
      <c r="BG112" s="102">
        <v>12.507</v>
      </c>
      <c r="BH112" s="102">
        <v>6.9370000000000003</v>
      </c>
      <c r="BI112" s="102">
        <v>0.245</v>
      </c>
      <c r="BJ112" s="102">
        <v>0.91500000000000004</v>
      </c>
      <c r="BK112" s="102">
        <v>0.68</v>
      </c>
      <c r="BL112" s="102">
        <v>1.8779999999999999</v>
      </c>
      <c r="BM112" s="102">
        <v>3.524</v>
      </c>
      <c r="BN112" s="102">
        <v>0.56499999999999995</v>
      </c>
      <c r="BO112" s="102">
        <v>4.0828738241972049</v>
      </c>
      <c r="BP112" s="102">
        <v>125.13504668665006</v>
      </c>
      <c r="BQ112" s="102">
        <v>3.8636755904106625E-2</v>
      </c>
      <c r="BR112" s="102">
        <v>15.870813146041749</v>
      </c>
      <c r="BS112" s="102">
        <v>77.18563942703102</v>
      </c>
      <c r="BT112" s="102">
        <v>23.326042413863991</v>
      </c>
      <c r="BU112" s="102">
        <v>15.419870534401023</v>
      </c>
      <c r="BV112" s="102"/>
      <c r="BW112" s="102">
        <v>21.411168845906911</v>
      </c>
      <c r="BX112" s="102">
        <v>58.80033216264389</v>
      </c>
      <c r="BY112" s="102">
        <v>22.217870956894224</v>
      </c>
      <c r="BZ112" s="102"/>
      <c r="CA112" s="102">
        <v>153.97985447106939</v>
      </c>
      <c r="CB112" s="102">
        <v>53.223516118593217</v>
      </c>
      <c r="CC112" s="102">
        <v>39.195427211364098</v>
      </c>
      <c r="CD112" s="102">
        <v>7.5172885361484356</v>
      </c>
      <c r="CE112" s="102">
        <v>14.151817700546133</v>
      </c>
      <c r="CF112" s="102">
        <v>8.1440136728962376</v>
      </c>
      <c r="CG112" s="102">
        <v>577.96887078909629</v>
      </c>
      <c r="CH112" s="102">
        <v>40.924932710543835</v>
      </c>
      <c r="CI112" s="102">
        <v>104.21358190153947</v>
      </c>
      <c r="CJ112" s="102">
        <v>10.79172290971319</v>
      </c>
      <c r="CK112" s="102">
        <v>41.199274646416029</v>
      </c>
      <c r="CL112" s="102">
        <v>8.9022834445582237</v>
      </c>
      <c r="CM112" s="102">
        <v>1.3824888707508216</v>
      </c>
      <c r="CN112" s="102">
        <v>8.2669125628602025</v>
      </c>
      <c r="CO112" s="102">
        <v>1.4411559119267299</v>
      </c>
      <c r="CP112" s="102">
        <v>7.6024547011650334</v>
      </c>
      <c r="CQ112" s="102">
        <v>1.4507861849487607</v>
      </c>
      <c r="CR112" s="102">
        <v>3.5054818224540396</v>
      </c>
      <c r="CS112" s="102">
        <v>0.45086621953251471</v>
      </c>
      <c r="CT112" s="102">
        <v>2.5610847882195169</v>
      </c>
      <c r="CU112" s="102">
        <v>0.30756048391257573</v>
      </c>
      <c r="CV112" s="102">
        <v>0.39066231813261471</v>
      </c>
      <c r="CW112" s="102">
        <v>0.88594836281902445</v>
      </c>
      <c r="CX112" s="102">
        <v>23.536219394594813</v>
      </c>
      <c r="CY112" s="102">
        <v>13.947269342214398</v>
      </c>
      <c r="CZ112" s="102">
        <v>3.3315579948983527</v>
      </c>
    </row>
    <row r="113" spans="1:149">
      <c r="A113" s="81" t="s">
        <v>444</v>
      </c>
      <c r="C113" s="81" t="s">
        <v>442</v>
      </c>
      <c r="E113" s="81" t="s">
        <v>129</v>
      </c>
      <c r="F113" s="81" t="s">
        <v>130</v>
      </c>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81">
        <v>47.948</v>
      </c>
      <c r="DB113" s="81">
        <v>1.726</v>
      </c>
      <c r="DC113" s="81">
        <v>15.522</v>
      </c>
      <c r="DD113" s="81">
        <v>9.8000000000000007</v>
      </c>
      <c r="DE113" s="81">
        <v>0.13300000000000001</v>
      </c>
      <c r="DF113" s="81">
        <v>6.5309999999999997</v>
      </c>
      <c r="DG113" s="81">
        <v>9.3260000000000005</v>
      </c>
      <c r="DH113" s="81">
        <v>2.84</v>
      </c>
      <c r="DI113" s="81">
        <v>0.63100000000000001</v>
      </c>
      <c r="DJ113" s="81">
        <v>0.252</v>
      </c>
      <c r="DK113" s="81">
        <v>1.9390000000000001</v>
      </c>
      <c r="DL113" s="81">
        <v>3.23</v>
      </c>
    </row>
    <row r="114" spans="1:149">
      <c r="A114" s="81" t="s">
        <v>445</v>
      </c>
      <c r="C114" s="81" t="s">
        <v>443</v>
      </c>
      <c r="E114" s="81" t="s">
        <v>129</v>
      </c>
      <c r="F114" s="81" t="s">
        <v>130</v>
      </c>
      <c r="DA114" s="81">
        <v>48.759</v>
      </c>
      <c r="DB114" s="81">
        <v>1.6339999999999999</v>
      </c>
      <c r="DC114" s="81">
        <v>17.864999999999998</v>
      </c>
      <c r="DD114" s="81">
        <v>6.4530000000000003</v>
      </c>
      <c r="DE114" s="81">
        <v>0.187</v>
      </c>
      <c r="DF114" s="81">
        <v>6.3890000000000002</v>
      </c>
      <c r="DG114" s="81">
        <v>9.8019999999999996</v>
      </c>
      <c r="DH114" s="81">
        <v>2.95</v>
      </c>
      <c r="DI114" s="81">
        <v>0.124</v>
      </c>
      <c r="DJ114" s="81">
        <v>0.153</v>
      </c>
      <c r="DK114" s="81">
        <v>1.4790000000000001</v>
      </c>
      <c r="DL114" s="81">
        <v>4.12</v>
      </c>
      <c r="DM114" s="102">
        <v>30.079886241509897</v>
      </c>
      <c r="DN114" s="102">
        <v>309.78946193467601</v>
      </c>
      <c r="DO114" s="102">
        <v>31.58017982376057</v>
      </c>
      <c r="DP114" s="102">
        <v>40.515525517030859</v>
      </c>
      <c r="DQ114" s="102">
        <v>45.860669990432974</v>
      </c>
      <c r="DR114" s="102">
        <v>94.176284268087599</v>
      </c>
      <c r="DS114" s="102">
        <v>93.425345939454417</v>
      </c>
      <c r="DT114" s="102">
        <v>0.50553408760922025</v>
      </c>
      <c r="DU114" s="102">
        <v>199.50432064206515</v>
      </c>
      <c r="DV114" s="102">
        <v>22.636701576441016</v>
      </c>
      <c r="DW114" s="102">
        <v>85.649396698900603</v>
      </c>
      <c r="DX114" s="102">
        <v>5.8631229853511302</v>
      </c>
      <c r="DY114" s="102">
        <v>9.8620982406422655E-2</v>
      </c>
      <c r="DZ114" s="102">
        <v>34.169340613340673</v>
      </c>
      <c r="EA114" s="102">
        <v>5.5245378421854854</v>
      </c>
      <c r="EB114" s="102">
        <v>14.02421879611977</v>
      </c>
      <c r="EC114" s="102">
        <v>2.095659882505104</v>
      </c>
      <c r="ED114" s="102">
        <v>10.379426344568733</v>
      </c>
      <c r="EE114" s="102">
        <v>3.3013158522477171</v>
      </c>
      <c r="EF114" s="102">
        <v>1.2613267512738942</v>
      </c>
      <c r="EG114" s="102">
        <v>3.72</v>
      </c>
      <c r="EH114" s="102">
        <v>0.69374138519438622</v>
      </c>
      <c r="EI114" s="102">
        <v>4.0672956595607923</v>
      </c>
      <c r="EJ114" s="102">
        <v>0.83929222811268633</v>
      </c>
      <c r="EK114" s="102">
        <v>2.3378037177299773</v>
      </c>
      <c r="EL114" s="102">
        <v>0.3300173967286319</v>
      </c>
      <c r="EM114" s="102">
        <v>2.1603638448516551</v>
      </c>
      <c r="EN114" s="102">
        <v>0.3266979109114248</v>
      </c>
      <c r="EO114" s="102">
        <v>2.2126172515508844</v>
      </c>
      <c r="EP114" s="102">
        <v>0.36552415058024462</v>
      </c>
      <c r="EQ114" s="102">
        <v>0.65991478786971647</v>
      </c>
      <c r="ER114" s="102">
        <v>0.39293795671950021</v>
      </c>
      <c r="ES114" s="102">
        <v>0.11760041622991646</v>
      </c>
    </row>
    <row r="115" spans="1:149">
      <c r="A115" s="81" t="s">
        <v>446</v>
      </c>
      <c r="C115" s="81" t="s">
        <v>510</v>
      </c>
      <c r="E115" s="81" t="s">
        <v>129</v>
      </c>
      <c r="F115" s="81" t="s">
        <v>130</v>
      </c>
      <c r="DA115" s="81">
        <v>49.17</v>
      </c>
      <c r="DB115" s="81">
        <v>1.5269999999999999</v>
      </c>
      <c r="DC115" s="81">
        <v>16.274000000000001</v>
      </c>
      <c r="DD115" s="81">
        <v>6.258</v>
      </c>
      <c r="DE115" s="81">
        <v>0.21</v>
      </c>
      <c r="DF115" s="81">
        <v>8.0730000000000004</v>
      </c>
      <c r="DG115" s="81">
        <v>8.6449999999999996</v>
      </c>
      <c r="DH115" s="81">
        <v>2.98</v>
      </c>
      <c r="DI115" s="81">
        <v>0.36099999999999999</v>
      </c>
      <c r="DJ115" s="81">
        <v>0.156</v>
      </c>
      <c r="DK115" s="81">
        <v>2.1040000000000001</v>
      </c>
      <c r="DL115" s="81">
        <v>3.63</v>
      </c>
      <c r="DM115" s="102"/>
      <c r="DN115" s="102"/>
      <c r="DO115" s="102"/>
      <c r="DP115" s="102"/>
      <c r="DQ115" s="102"/>
      <c r="DR115" s="102"/>
      <c r="DS115" s="102"/>
      <c r="DT115" s="102"/>
      <c r="DU115" s="102"/>
      <c r="DV115" s="102"/>
      <c r="DW115" s="102"/>
      <c r="DX115" s="102"/>
      <c r="DY115" s="102"/>
      <c r="DZ115" s="102"/>
      <c r="EA115" s="102"/>
      <c r="EB115" s="102"/>
      <c r="EC115" s="102"/>
      <c r="ED115" s="102"/>
      <c r="EE115" s="102"/>
      <c r="EF115" s="102"/>
      <c r="EG115" s="102"/>
      <c r="EH115" s="102"/>
      <c r="EI115" s="102"/>
      <c r="EJ115" s="102"/>
      <c r="EK115" s="102"/>
      <c r="EL115" s="102"/>
      <c r="EM115" s="102"/>
      <c r="EN115" s="102"/>
      <c r="EO115" s="102"/>
      <c r="EP115" s="102"/>
      <c r="EQ115" s="102"/>
      <c r="ER115" s="102"/>
      <c r="ES115" s="102"/>
    </row>
    <row r="116" spans="1:149">
      <c r="A116" s="81" t="s">
        <v>447</v>
      </c>
      <c r="C116" s="81" t="s">
        <v>511</v>
      </c>
      <c r="E116" s="81" t="s">
        <v>129</v>
      </c>
      <c r="F116" s="81" t="s">
        <v>130</v>
      </c>
      <c r="DA116" s="81">
        <v>49.003</v>
      </c>
      <c r="DB116" s="81">
        <v>1.51</v>
      </c>
      <c r="DC116" s="81">
        <v>15.385</v>
      </c>
      <c r="DD116" s="81">
        <v>5.48</v>
      </c>
      <c r="DE116" s="81">
        <v>0.184</v>
      </c>
      <c r="DF116" s="81">
        <v>6.75</v>
      </c>
      <c r="DG116" s="81">
        <v>11.542999999999999</v>
      </c>
      <c r="DH116" s="81">
        <v>2.4700000000000002</v>
      </c>
      <c r="DI116" s="81">
        <v>9.2999999999999999E-2</v>
      </c>
      <c r="DJ116" s="81">
        <v>0.151</v>
      </c>
      <c r="DK116" s="81">
        <v>1.081</v>
      </c>
      <c r="DL116" s="81">
        <v>6.3</v>
      </c>
      <c r="DM116" s="102">
        <v>36.589318274751747</v>
      </c>
      <c r="DN116" s="102">
        <v>333.9187256530256</v>
      </c>
      <c r="DO116" s="102">
        <v>82.580322691615081</v>
      </c>
      <c r="DP116" s="102">
        <v>46.016609573046757</v>
      </c>
      <c r="DQ116" s="102">
        <v>64.551641713905539</v>
      </c>
      <c r="DR116" s="102">
        <v>119.16291769125878</v>
      </c>
      <c r="DS116" s="102">
        <v>97.363442697464265</v>
      </c>
      <c r="DT116" s="102">
        <v>0.29219999776320243</v>
      </c>
      <c r="DU116" s="102">
        <v>159.04316987126219</v>
      </c>
      <c r="DV116" s="102">
        <v>27.669888086025583</v>
      </c>
      <c r="DW116" s="102">
        <v>78.099099873919258</v>
      </c>
      <c r="DX116" s="102">
        <v>4.6423065228199007</v>
      </c>
      <c r="DY116" s="102">
        <v>9.8893915187394252E-2</v>
      </c>
      <c r="DZ116" s="102">
        <v>25.999289341135793</v>
      </c>
      <c r="EA116" s="102">
        <v>4.6226311882671682</v>
      </c>
      <c r="EB116" s="102">
        <v>11.968746060353068</v>
      </c>
      <c r="EC116" s="102">
        <v>1.861294136347893</v>
      </c>
      <c r="ED116" s="102">
        <v>9.9556580565145971</v>
      </c>
      <c r="EE116" s="102">
        <v>3.1955696693776976</v>
      </c>
      <c r="EF116" s="102">
        <v>1.1898365629120073</v>
      </c>
      <c r="EG116" s="102">
        <v>3.84</v>
      </c>
      <c r="EH116" s="102">
        <v>0.73364128643256132</v>
      </c>
      <c r="EI116" s="102">
        <v>4.4079864790607273</v>
      </c>
      <c r="EJ116" s="102">
        <v>0.96961891432982705</v>
      </c>
      <c r="EK116" s="102">
        <v>2.7235545448199971</v>
      </c>
      <c r="EL116" s="102">
        <v>0.38189833321403893</v>
      </c>
      <c r="EM116" s="102">
        <v>2.5509984364807194</v>
      </c>
      <c r="EN116" s="102">
        <v>0.39435912033239023</v>
      </c>
      <c r="EO116" s="102">
        <v>2.0352862579124849</v>
      </c>
      <c r="EP116" s="102">
        <v>0.27417680531519967</v>
      </c>
      <c r="EQ116" s="102">
        <v>0.56606130656338838</v>
      </c>
      <c r="ER116" s="102">
        <v>0.2771179976702885</v>
      </c>
      <c r="ES116" s="102">
        <v>0.10532762047362648</v>
      </c>
    </row>
    <row r="117" spans="1:149">
      <c r="A117" s="81" t="s">
        <v>448</v>
      </c>
      <c r="C117" s="81" t="s">
        <v>512</v>
      </c>
      <c r="E117" s="81" t="s">
        <v>129</v>
      </c>
      <c r="F117" s="81" t="s">
        <v>130</v>
      </c>
      <c r="DA117" s="81">
        <v>48.893000000000001</v>
      </c>
      <c r="DB117" s="81">
        <v>2.1080000000000001</v>
      </c>
      <c r="DC117" s="81">
        <v>14.766999999999999</v>
      </c>
      <c r="DD117" s="81">
        <v>9.3759999999999994</v>
      </c>
      <c r="DE117" s="81">
        <v>0.127</v>
      </c>
      <c r="DF117" s="81">
        <v>7.4210000000000003</v>
      </c>
      <c r="DG117" s="81">
        <v>6.5140000000000002</v>
      </c>
      <c r="DH117" s="81">
        <v>2.84</v>
      </c>
      <c r="DI117" s="81">
        <v>1.012</v>
      </c>
      <c r="DJ117" s="81">
        <v>0.34</v>
      </c>
      <c r="DK117" s="81">
        <v>2.6739999999999999</v>
      </c>
      <c r="DL117" s="81">
        <v>3.63</v>
      </c>
      <c r="DM117" s="102"/>
      <c r="DN117" s="102"/>
      <c r="DO117" s="102"/>
      <c r="DP117" s="102"/>
      <c r="DQ117" s="102"/>
      <c r="DR117" s="102"/>
      <c r="DS117" s="102"/>
      <c r="DT117" s="102"/>
      <c r="DU117" s="102"/>
      <c r="DV117" s="102"/>
      <c r="DW117" s="102"/>
      <c r="DX117" s="102"/>
      <c r="DY117" s="102"/>
      <c r="DZ117" s="102"/>
      <c r="EA117" s="102"/>
      <c r="EB117" s="102"/>
      <c r="EC117" s="102"/>
      <c r="ED117" s="102"/>
      <c r="EE117" s="102"/>
      <c r="EF117" s="102"/>
      <c r="EG117" s="102"/>
      <c r="EH117" s="102"/>
      <c r="EI117" s="102"/>
      <c r="EJ117" s="102"/>
      <c r="EK117" s="102"/>
      <c r="EL117" s="102"/>
      <c r="EM117" s="102"/>
      <c r="EN117" s="102"/>
      <c r="EO117" s="102"/>
      <c r="EP117" s="102"/>
      <c r="EQ117" s="102"/>
      <c r="ER117" s="102"/>
      <c r="ES117" s="102"/>
    </row>
    <row r="118" spans="1:149">
      <c r="A118" s="81" t="s">
        <v>449</v>
      </c>
      <c r="C118" s="81" t="s">
        <v>513</v>
      </c>
      <c r="E118" s="81" t="s">
        <v>129</v>
      </c>
      <c r="F118" s="81" t="s">
        <v>130</v>
      </c>
      <c r="DA118" s="81">
        <v>48.774000000000001</v>
      </c>
      <c r="DB118" s="81">
        <v>2.286</v>
      </c>
      <c r="DC118" s="81">
        <v>13.922000000000001</v>
      </c>
      <c r="DD118" s="81">
        <v>6.5860000000000003</v>
      </c>
      <c r="DE118" s="81">
        <v>0.17100000000000001</v>
      </c>
      <c r="DF118" s="81">
        <v>7.2880000000000003</v>
      </c>
      <c r="DG118" s="81">
        <v>10.215999999999999</v>
      </c>
      <c r="DH118" s="81">
        <v>2.84</v>
      </c>
      <c r="DI118" s="81">
        <v>0.253</v>
      </c>
      <c r="DJ118" s="81">
        <v>0.22500000000000001</v>
      </c>
      <c r="DK118" s="81">
        <v>1.347</v>
      </c>
      <c r="DL118" s="81">
        <v>6.17</v>
      </c>
      <c r="DM118" s="102"/>
      <c r="DN118" s="102"/>
      <c r="DO118" s="102"/>
      <c r="DP118" s="102"/>
      <c r="DQ118" s="102"/>
      <c r="DR118" s="102"/>
      <c r="DS118" s="102"/>
      <c r="DT118" s="102"/>
      <c r="DU118" s="102"/>
      <c r="DV118" s="102"/>
      <c r="DW118" s="102"/>
      <c r="DX118" s="102"/>
      <c r="DY118" s="102"/>
      <c r="DZ118" s="102"/>
      <c r="EA118" s="102"/>
      <c r="EB118" s="102"/>
      <c r="EC118" s="102"/>
      <c r="ED118" s="102"/>
      <c r="EE118" s="102"/>
      <c r="EF118" s="102"/>
      <c r="EG118" s="102"/>
      <c r="EH118" s="102"/>
      <c r="EI118" s="102"/>
      <c r="EJ118" s="102"/>
      <c r="EK118" s="102"/>
      <c r="EL118" s="102"/>
      <c r="EM118" s="102"/>
      <c r="EN118" s="102"/>
      <c r="EO118" s="102"/>
      <c r="EP118" s="102"/>
      <c r="EQ118" s="102"/>
      <c r="ER118" s="102"/>
      <c r="ES118" s="102"/>
    </row>
    <row r="119" spans="1:149">
      <c r="A119" s="81" t="s">
        <v>450</v>
      </c>
      <c r="C119" s="81" t="s">
        <v>514</v>
      </c>
      <c r="E119" s="81" t="s">
        <v>129</v>
      </c>
      <c r="F119" s="81" t="s">
        <v>130</v>
      </c>
      <c r="DA119" s="81">
        <v>48.828000000000003</v>
      </c>
      <c r="DB119" s="81">
        <v>1.9379999999999999</v>
      </c>
      <c r="DC119" s="81">
        <v>14.574</v>
      </c>
      <c r="DD119" s="81">
        <v>6.2779999999999996</v>
      </c>
      <c r="DE119" s="81">
        <v>0.20599999999999999</v>
      </c>
      <c r="DF119" s="81">
        <v>8.0399999999999991</v>
      </c>
      <c r="DG119" s="81">
        <v>9.8919999999999995</v>
      </c>
      <c r="DH119" s="81">
        <v>2.87</v>
      </c>
      <c r="DI119" s="81">
        <v>0.22600000000000001</v>
      </c>
      <c r="DJ119" s="81">
        <v>0.182</v>
      </c>
      <c r="DK119" s="81">
        <v>1.6080000000000001</v>
      </c>
      <c r="DL119" s="81">
        <v>5.19</v>
      </c>
      <c r="DM119" s="102">
        <v>37.776396831484639</v>
      </c>
      <c r="DN119" s="102">
        <v>339.55405609787493</v>
      </c>
      <c r="DO119" s="102">
        <v>185.65762393557691</v>
      </c>
      <c r="DP119" s="102">
        <v>43.334459681570046</v>
      </c>
      <c r="DQ119" s="102">
        <v>70.398125078106929</v>
      </c>
      <c r="DR119" s="102">
        <v>106.25942197053662</v>
      </c>
      <c r="DS119" s="102">
        <v>115.09005473942828</v>
      </c>
      <c r="DT119" s="102">
        <v>1.0854760214180867</v>
      </c>
      <c r="DU119" s="102">
        <v>182.96984410842757</v>
      </c>
      <c r="DV119" s="102">
        <v>31.382314412899532</v>
      </c>
      <c r="DW119" s="102">
        <v>110.22168704573728</v>
      </c>
      <c r="DX119" s="102">
        <v>6.9227842749043456</v>
      </c>
      <c r="DY119" s="102">
        <v>0.11557904510297855</v>
      </c>
      <c r="DZ119" s="102">
        <v>41.472541071175556</v>
      </c>
      <c r="EA119" s="102">
        <v>7.2398545141907782</v>
      </c>
      <c r="EB119" s="102">
        <v>18.065912353866327</v>
      </c>
      <c r="EC119" s="102">
        <v>2.6856369284928054</v>
      </c>
      <c r="ED119" s="102">
        <v>13.649235354801034</v>
      </c>
      <c r="EE119" s="102">
        <v>4.2475460517423276</v>
      </c>
      <c r="EF119" s="102">
        <v>1.436321458006862</v>
      </c>
      <c r="EG119" s="102">
        <v>4.59</v>
      </c>
      <c r="EH119" s="102">
        <v>0.89322304485661241</v>
      </c>
      <c r="EI119" s="102">
        <v>5.1097972242722314</v>
      </c>
      <c r="EJ119" s="102">
        <v>1.1103949436965042</v>
      </c>
      <c r="EK119" s="102">
        <v>3.0313528120436004</v>
      </c>
      <c r="EL119" s="102">
        <v>0.41083373334844114</v>
      </c>
      <c r="EM119" s="102">
        <v>2.5854377917694435</v>
      </c>
      <c r="EN119" s="102">
        <v>0.38712194087247181</v>
      </c>
      <c r="EO119" s="102">
        <v>2.828193532561956</v>
      </c>
      <c r="EP119" s="102">
        <v>0.40706366154986218</v>
      </c>
      <c r="EQ119" s="102">
        <v>0.93482636435938671</v>
      </c>
      <c r="ER119" s="102">
        <v>0.66098465906565906</v>
      </c>
      <c r="ES119" s="102">
        <v>0.19946173655656163</v>
      </c>
    </row>
    <row r="120" spans="1:149">
      <c r="A120" s="81" t="s">
        <v>451</v>
      </c>
      <c r="C120" s="81" t="s">
        <v>515</v>
      </c>
      <c r="E120" s="81" t="s">
        <v>129</v>
      </c>
      <c r="F120" s="81" t="s">
        <v>130</v>
      </c>
      <c r="DA120" s="81">
        <v>48.026000000000003</v>
      </c>
      <c r="DB120" s="81">
        <v>1.976</v>
      </c>
      <c r="DC120" s="81">
        <v>13.12</v>
      </c>
      <c r="DD120" s="81">
        <v>10.92</v>
      </c>
      <c r="DE120" s="81">
        <v>0.105</v>
      </c>
      <c r="DF120" s="81">
        <v>9.0449999999999999</v>
      </c>
      <c r="DG120" s="81">
        <v>7.5119999999999996</v>
      </c>
      <c r="DH120" s="81">
        <v>2.78</v>
      </c>
      <c r="DI120" s="81">
        <v>0.47699999999999998</v>
      </c>
      <c r="DJ120" s="81">
        <v>0.156</v>
      </c>
      <c r="DK120" s="81">
        <v>2.2599999999999998</v>
      </c>
      <c r="DL120" s="81">
        <v>3.5</v>
      </c>
      <c r="DM120" s="102"/>
      <c r="DN120" s="102"/>
      <c r="DO120" s="102"/>
      <c r="DP120" s="102"/>
      <c r="DQ120" s="102"/>
      <c r="DR120" s="102"/>
      <c r="DS120" s="102"/>
      <c r="DT120" s="102"/>
      <c r="DU120" s="102"/>
      <c r="DV120" s="102"/>
      <c r="DW120" s="102"/>
      <c r="DX120" s="102"/>
      <c r="DY120" s="102"/>
      <c r="DZ120" s="102"/>
      <c r="EA120" s="102"/>
      <c r="EB120" s="102"/>
      <c r="EC120" s="102"/>
      <c r="ED120" s="102"/>
      <c r="EE120" s="102"/>
      <c r="EF120" s="102"/>
      <c r="EG120" s="102"/>
      <c r="EH120" s="102"/>
      <c r="EI120" s="102"/>
      <c r="EJ120" s="102"/>
      <c r="EK120" s="102"/>
      <c r="EL120" s="102"/>
      <c r="EM120" s="102"/>
      <c r="EN120" s="102"/>
      <c r="EO120" s="102"/>
      <c r="EP120" s="102"/>
      <c r="EQ120" s="102"/>
      <c r="ER120" s="102"/>
      <c r="ES120" s="102"/>
    </row>
    <row r="121" spans="1:149">
      <c r="A121" s="81" t="s">
        <v>452</v>
      </c>
      <c r="C121" s="81" t="s">
        <v>516</v>
      </c>
      <c r="E121" s="81" t="s">
        <v>129</v>
      </c>
      <c r="F121" s="81" t="s">
        <v>130</v>
      </c>
      <c r="DA121" s="81">
        <v>48.793999999999997</v>
      </c>
      <c r="DB121" s="81">
        <v>2.37</v>
      </c>
      <c r="DC121" s="81">
        <v>14.132</v>
      </c>
      <c r="DD121" s="81">
        <v>5.9160000000000004</v>
      </c>
      <c r="DE121" s="81">
        <v>0.23300000000000001</v>
      </c>
      <c r="DF121" s="81">
        <v>7.1479999999999997</v>
      </c>
      <c r="DG121" s="81">
        <v>10.038</v>
      </c>
      <c r="DH121" s="81">
        <v>2.77</v>
      </c>
      <c r="DI121" s="81">
        <v>0.22500000000000001</v>
      </c>
      <c r="DJ121" s="81">
        <v>0.23699999999999999</v>
      </c>
      <c r="DK121" s="81">
        <v>1.212</v>
      </c>
      <c r="DL121" s="81">
        <v>6.13</v>
      </c>
      <c r="DM121" s="102"/>
      <c r="DN121" s="102"/>
      <c r="DO121" s="102"/>
      <c r="DP121" s="102"/>
      <c r="DQ121" s="102"/>
      <c r="DR121" s="102"/>
      <c r="DS121" s="102"/>
      <c r="DT121" s="102"/>
      <c r="DU121" s="102"/>
      <c r="DV121" s="102"/>
      <c r="DW121" s="102"/>
      <c r="DX121" s="102"/>
      <c r="DY121" s="102"/>
      <c r="DZ121" s="102"/>
      <c r="EA121" s="102"/>
      <c r="EB121" s="102"/>
      <c r="EC121" s="102"/>
      <c r="ED121" s="102"/>
      <c r="EE121" s="102"/>
      <c r="EF121" s="102"/>
      <c r="EG121" s="102"/>
      <c r="EH121" s="102"/>
      <c r="EI121" s="102"/>
      <c r="EJ121" s="102"/>
      <c r="EK121" s="102"/>
      <c r="EL121" s="102"/>
      <c r="EM121" s="102"/>
      <c r="EN121" s="102"/>
      <c r="EO121" s="102"/>
      <c r="EP121" s="102"/>
      <c r="EQ121" s="102"/>
      <c r="ER121" s="102"/>
      <c r="ES121" s="102"/>
    </row>
    <row r="122" spans="1:149">
      <c r="A122" s="81" t="s">
        <v>453</v>
      </c>
      <c r="C122" s="81" t="s">
        <v>572</v>
      </c>
      <c r="E122" s="81" t="s">
        <v>129</v>
      </c>
      <c r="F122" s="81" t="s">
        <v>130</v>
      </c>
      <c r="DA122" s="81">
        <v>48.281999999999996</v>
      </c>
      <c r="DB122" s="81">
        <v>1.964</v>
      </c>
      <c r="DC122" s="81">
        <v>15.019</v>
      </c>
      <c r="DD122" s="81">
        <v>7.53</v>
      </c>
      <c r="DE122" s="81">
        <v>0.13500000000000001</v>
      </c>
      <c r="DF122" s="81">
        <v>6.9930000000000003</v>
      </c>
      <c r="DG122" s="81">
        <v>10.662000000000001</v>
      </c>
      <c r="DH122" s="81">
        <v>2.5299999999999998</v>
      </c>
      <c r="DI122" s="81">
        <v>0.20799999999999999</v>
      </c>
      <c r="DJ122" s="81">
        <v>0.183</v>
      </c>
      <c r="DK122" s="81">
        <v>1.3320000000000001</v>
      </c>
      <c r="DL122" s="81">
        <v>4.51</v>
      </c>
      <c r="DM122" s="102"/>
      <c r="DN122" s="102"/>
      <c r="DO122" s="102"/>
      <c r="DP122" s="102"/>
      <c r="DQ122" s="102"/>
      <c r="DR122" s="102"/>
      <c r="DS122" s="102"/>
      <c r="DT122" s="102"/>
      <c r="DU122" s="102"/>
      <c r="DV122" s="102"/>
      <c r="DW122" s="102"/>
      <c r="DX122" s="102"/>
      <c r="DY122" s="102"/>
      <c r="DZ122" s="102"/>
      <c r="EA122" s="102"/>
      <c r="EB122" s="102"/>
      <c r="EC122" s="102"/>
      <c r="ED122" s="102"/>
      <c r="EE122" s="102"/>
      <c r="EF122" s="102"/>
      <c r="EG122" s="102"/>
      <c r="EH122" s="102"/>
      <c r="EI122" s="102"/>
      <c r="EJ122" s="102"/>
      <c r="EK122" s="102"/>
      <c r="EL122" s="102"/>
      <c r="EM122" s="102"/>
      <c r="EN122" s="102"/>
      <c r="EO122" s="102"/>
      <c r="EP122" s="102"/>
      <c r="EQ122" s="102"/>
      <c r="ER122" s="102"/>
      <c r="ES122" s="102"/>
    </row>
    <row r="123" spans="1:149">
      <c r="A123" s="81" t="s">
        <v>454</v>
      </c>
      <c r="C123" s="81" t="s">
        <v>573</v>
      </c>
      <c r="E123" s="81" t="s">
        <v>129</v>
      </c>
      <c r="F123" s="81" t="s">
        <v>130</v>
      </c>
      <c r="DA123" s="81">
        <v>48.811</v>
      </c>
      <c r="DB123" s="81">
        <v>2.1539999999999999</v>
      </c>
      <c r="DC123" s="81">
        <v>15.175000000000001</v>
      </c>
      <c r="DD123" s="81">
        <v>8.2949999999999999</v>
      </c>
      <c r="DE123" s="81">
        <v>0.1</v>
      </c>
      <c r="DF123" s="81">
        <v>7.77</v>
      </c>
      <c r="DG123" s="81">
        <v>8.1549999999999994</v>
      </c>
      <c r="DH123" s="81">
        <v>2.86</v>
      </c>
      <c r="DI123" s="81">
        <v>0.39400000000000002</v>
      </c>
      <c r="DJ123" s="81">
        <v>0.23899999999999999</v>
      </c>
      <c r="DK123" s="81">
        <v>2.0030000000000001</v>
      </c>
      <c r="DL123" s="81">
        <v>3.71</v>
      </c>
      <c r="DM123" s="102"/>
      <c r="DN123" s="102"/>
      <c r="DO123" s="102"/>
      <c r="DP123" s="102"/>
      <c r="DQ123" s="102"/>
      <c r="DR123" s="102"/>
      <c r="DS123" s="102"/>
      <c r="DT123" s="102"/>
      <c r="DU123" s="102"/>
      <c r="DV123" s="102"/>
      <c r="DW123" s="102"/>
      <c r="DX123" s="102"/>
      <c r="DY123" s="102"/>
      <c r="DZ123" s="102"/>
      <c r="EA123" s="102"/>
      <c r="EB123" s="102"/>
      <c r="EC123" s="102"/>
      <c r="ED123" s="102"/>
      <c r="EE123" s="102"/>
      <c r="EF123" s="102"/>
      <c r="EG123" s="102"/>
      <c r="EH123" s="102"/>
      <c r="EI123" s="102"/>
      <c r="EJ123" s="102"/>
      <c r="EK123" s="102"/>
      <c r="EL123" s="102"/>
      <c r="EM123" s="102"/>
      <c r="EN123" s="102"/>
      <c r="EO123" s="102"/>
      <c r="EP123" s="102"/>
      <c r="EQ123" s="102"/>
      <c r="ER123" s="102"/>
      <c r="ES123" s="102"/>
    </row>
    <row r="124" spans="1:149">
      <c r="A124" s="81" t="s">
        <v>455</v>
      </c>
      <c r="C124" s="81" t="s">
        <v>517</v>
      </c>
      <c r="E124" s="81" t="s">
        <v>129</v>
      </c>
      <c r="F124" s="81" t="s">
        <v>130</v>
      </c>
      <c r="DA124" s="81">
        <v>48.79</v>
      </c>
      <c r="DB124" s="81">
        <v>1.9279999999999999</v>
      </c>
      <c r="DC124" s="81">
        <v>15.189</v>
      </c>
      <c r="DD124" s="81">
        <v>6.1449999999999996</v>
      </c>
      <c r="DE124" s="81">
        <v>0.14599999999999999</v>
      </c>
      <c r="DF124" s="81">
        <v>7.0419999999999998</v>
      </c>
      <c r="DG124" s="81">
        <v>10.595000000000001</v>
      </c>
      <c r="DH124" s="81">
        <v>2.46</v>
      </c>
      <c r="DI124" s="81">
        <v>0.36</v>
      </c>
      <c r="DJ124" s="81">
        <v>0.19</v>
      </c>
      <c r="DK124" s="81">
        <v>1.399</v>
      </c>
      <c r="DL124" s="81">
        <v>5.2</v>
      </c>
      <c r="DM124" s="102"/>
      <c r="DN124" s="102"/>
      <c r="DO124" s="102"/>
      <c r="DP124" s="102"/>
      <c r="DQ124" s="102"/>
      <c r="DR124" s="102"/>
      <c r="DS124" s="102"/>
      <c r="DT124" s="102"/>
      <c r="DU124" s="102"/>
      <c r="DV124" s="102"/>
      <c r="DW124" s="102"/>
      <c r="DX124" s="102"/>
      <c r="DY124" s="102"/>
      <c r="DZ124" s="102"/>
      <c r="EA124" s="102"/>
      <c r="EB124" s="102"/>
      <c r="EC124" s="102"/>
      <c r="ED124" s="102"/>
      <c r="EE124" s="102"/>
      <c r="EF124" s="102"/>
      <c r="EG124" s="102"/>
      <c r="EH124" s="102"/>
      <c r="EI124" s="102"/>
      <c r="EJ124" s="102"/>
      <c r="EK124" s="102"/>
      <c r="EL124" s="102"/>
      <c r="EM124" s="102"/>
      <c r="EN124" s="102"/>
      <c r="EO124" s="102"/>
      <c r="EP124" s="102"/>
      <c r="EQ124" s="102"/>
      <c r="ER124" s="102"/>
      <c r="ES124" s="102"/>
    </row>
    <row r="125" spans="1:149">
      <c r="A125" s="81" t="s">
        <v>456</v>
      </c>
      <c r="C125" s="81" t="s">
        <v>518</v>
      </c>
      <c r="E125" s="81" t="s">
        <v>129</v>
      </c>
      <c r="F125" s="81" t="s">
        <v>130</v>
      </c>
      <c r="DA125" s="81">
        <v>48.167000000000002</v>
      </c>
      <c r="DB125" s="81">
        <v>1.861</v>
      </c>
      <c r="DC125" s="81">
        <v>16.05</v>
      </c>
      <c r="DD125" s="81">
        <v>8.6460000000000008</v>
      </c>
      <c r="DE125" s="81">
        <v>9.5000000000000001E-2</v>
      </c>
      <c r="DF125" s="81">
        <v>7.3810000000000002</v>
      </c>
      <c r="DG125" s="81">
        <v>8.9979999999999993</v>
      </c>
      <c r="DH125" s="81">
        <v>2.74</v>
      </c>
      <c r="DI125" s="81">
        <v>0.2</v>
      </c>
      <c r="DJ125" s="81">
        <v>0.17199999999999999</v>
      </c>
      <c r="DK125" s="81">
        <v>1.825</v>
      </c>
      <c r="DL125" s="81">
        <v>3.28</v>
      </c>
      <c r="DM125" s="102"/>
      <c r="DN125" s="102"/>
      <c r="DO125" s="102"/>
      <c r="DP125" s="102"/>
      <c r="DQ125" s="102"/>
      <c r="DR125" s="102"/>
      <c r="DS125" s="102"/>
      <c r="DT125" s="102"/>
      <c r="DU125" s="102"/>
      <c r="DV125" s="102"/>
      <c r="DW125" s="102"/>
      <c r="DX125" s="102"/>
      <c r="DY125" s="102"/>
      <c r="DZ125" s="102"/>
      <c r="EA125" s="102"/>
      <c r="EB125" s="102"/>
      <c r="EC125" s="102"/>
      <c r="ED125" s="102"/>
      <c r="EE125" s="102"/>
      <c r="EF125" s="102"/>
      <c r="EG125" s="102"/>
      <c r="EH125" s="102"/>
      <c r="EI125" s="102"/>
      <c r="EJ125" s="102"/>
      <c r="EK125" s="102"/>
      <c r="EL125" s="102"/>
      <c r="EM125" s="102"/>
      <c r="EN125" s="102"/>
      <c r="EO125" s="102"/>
      <c r="EP125" s="102"/>
      <c r="EQ125" s="102"/>
      <c r="ER125" s="102"/>
      <c r="ES125" s="102"/>
    </row>
    <row r="126" spans="1:149">
      <c r="A126" s="81" t="s">
        <v>457</v>
      </c>
      <c r="C126" s="81" t="s">
        <v>519</v>
      </c>
      <c r="E126" s="81" t="s">
        <v>129</v>
      </c>
      <c r="F126" s="81" t="s">
        <v>130</v>
      </c>
      <c r="DA126" s="81">
        <v>48.686</v>
      </c>
      <c r="DB126" s="81">
        <v>2.0510000000000002</v>
      </c>
      <c r="DC126" s="81">
        <v>14.505000000000001</v>
      </c>
      <c r="DD126" s="81">
        <v>5.9240000000000004</v>
      </c>
      <c r="DE126" s="81">
        <v>0.15</v>
      </c>
      <c r="DF126" s="81">
        <v>7.5309999999999997</v>
      </c>
      <c r="DG126" s="81">
        <v>10.631</v>
      </c>
      <c r="DH126" s="81">
        <v>2.59</v>
      </c>
      <c r="DI126" s="81">
        <v>0.29699999999999999</v>
      </c>
      <c r="DJ126" s="81">
        <v>0.19900000000000001</v>
      </c>
      <c r="DK126" s="81">
        <v>1.476</v>
      </c>
      <c r="DL126" s="81">
        <v>5.8</v>
      </c>
      <c r="DM126" s="102">
        <v>36.994574621211974</v>
      </c>
      <c r="DN126" s="102">
        <v>317.76286534827364</v>
      </c>
      <c r="DO126" s="102">
        <v>256.38663929038063</v>
      </c>
      <c r="DP126" s="102">
        <v>41.316975975988647</v>
      </c>
      <c r="DQ126" s="102">
        <v>76.305143470587311</v>
      </c>
      <c r="DR126" s="102">
        <v>85.592700213106056</v>
      </c>
      <c r="DS126" s="102">
        <v>100.4860862009087</v>
      </c>
      <c r="DT126" s="102">
        <v>4.454273868751458</v>
      </c>
      <c r="DU126" s="102">
        <v>180.03850522991044</v>
      </c>
      <c r="DV126" s="102">
        <v>31.29737752905973</v>
      </c>
      <c r="DW126" s="102">
        <v>118.90373801296782</v>
      </c>
      <c r="DX126" s="102">
        <v>7.3340768843625286</v>
      </c>
      <c r="DY126" s="102">
        <v>0.18756568063418633</v>
      </c>
      <c r="DZ126" s="102">
        <v>33.747149672139422</v>
      </c>
      <c r="EA126" s="102">
        <v>6.9983248614822111</v>
      </c>
      <c r="EB126" s="102">
        <v>18.015020237588026</v>
      </c>
      <c r="EC126" s="102">
        <v>2.7218317228224507</v>
      </c>
      <c r="ED126" s="102">
        <v>14.025544405236941</v>
      </c>
      <c r="EE126" s="102">
        <v>4.3349495248130241</v>
      </c>
      <c r="EF126" s="102">
        <v>1.5015522565703083</v>
      </c>
      <c r="EG126" s="102">
        <v>4.82</v>
      </c>
      <c r="EH126" s="102">
        <v>0.90340318922182739</v>
      </c>
      <c r="EI126" s="102">
        <v>5.2248333130228675</v>
      </c>
      <c r="EJ126" s="102">
        <v>1.1115403416629366</v>
      </c>
      <c r="EK126" s="102">
        <v>3.00805649120087</v>
      </c>
      <c r="EL126" s="102">
        <v>0.41535849815243536</v>
      </c>
      <c r="EM126" s="102">
        <v>2.6459350912651445</v>
      </c>
      <c r="EN126" s="102">
        <v>0.42483688237029832</v>
      </c>
      <c r="EO126" s="102">
        <v>3.1048068214310955</v>
      </c>
      <c r="EP126" s="102">
        <v>0.45188816606036469</v>
      </c>
      <c r="EQ126" s="102">
        <v>0.74509615436888266</v>
      </c>
      <c r="ER126" s="102">
        <v>0.55706575701992633</v>
      </c>
      <c r="ES126" s="102">
        <v>0.16463918045736439</v>
      </c>
    </row>
    <row r="127" spans="1:149">
      <c r="A127" s="81" t="s">
        <v>458</v>
      </c>
      <c r="C127" s="81" t="s">
        <v>520</v>
      </c>
      <c r="E127" s="81" t="s">
        <v>129</v>
      </c>
      <c r="F127" s="81" t="s">
        <v>130</v>
      </c>
      <c r="DA127" s="81">
        <v>48.351999999999997</v>
      </c>
      <c r="DB127" s="81">
        <v>2.1560000000000001</v>
      </c>
      <c r="DC127" s="81">
        <v>15.034000000000001</v>
      </c>
      <c r="DD127" s="81">
        <v>7.59</v>
      </c>
      <c r="DE127" s="81">
        <v>0.112</v>
      </c>
      <c r="DF127" s="81">
        <v>7.399</v>
      </c>
      <c r="DG127" s="81">
        <v>9.7379999999999995</v>
      </c>
      <c r="DH127" s="81">
        <v>2.65</v>
      </c>
      <c r="DI127" s="81">
        <v>0.23499999999999999</v>
      </c>
      <c r="DJ127" s="81">
        <v>0.20100000000000001</v>
      </c>
      <c r="DK127" s="81">
        <v>1.637</v>
      </c>
      <c r="DL127" s="81">
        <v>4.1100000000000003</v>
      </c>
      <c r="DM127" s="102"/>
      <c r="DN127" s="102"/>
      <c r="DO127" s="102"/>
      <c r="DP127" s="102"/>
      <c r="DQ127" s="102"/>
      <c r="DR127" s="102"/>
      <c r="DS127" s="102"/>
      <c r="DT127" s="102"/>
      <c r="DU127" s="102"/>
      <c r="DV127" s="102"/>
      <c r="DW127" s="102"/>
      <c r="DX127" s="102"/>
      <c r="DY127" s="102"/>
      <c r="DZ127" s="102"/>
      <c r="EA127" s="102"/>
      <c r="EB127" s="102"/>
      <c r="EC127" s="102"/>
      <c r="ED127" s="102"/>
      <c r="EE127" s="102"/>
      <c r="EF127" s="102"/>
      <c r="EG127" s="102"/>
      <c r="EH127" s="102"/>
      <c r="EI127" s="102"/>
      <c r="EJ127" s="102"/>
      <c r="EK127" s="102"/>
      <c r="EL127" s="102"/>
      <c r="EM127" s="102"/>
      <c r="EN127" s="102"/>
      <c r="EO127" s="102"/>
      <c r="EP127" s="102"/>
      <c r="EQ127" s="102"/>
      <c r="ER127" s="102"/>
      <c r="ES127" s="102"/>
    </row>
    <row r="128" spans="1:149">
      <c r="A128" s="81" t="s">
        <v>461</v>
      </c>
      <c r="C128" s="81" t="s">
        <v>521</v>
      </c>
      <c r="E128" s="81" t="s">
        <v>129</v>
      </c>
      <c r="F128" s="81" t="s">
        <v>130</v>
      </c>
      <c r="DA128" s="81">
        <v>48.204000000000001</v>
      </c>
      <c r="DB128" s="81">
        <v>2.6360000000000001</v>
      </c>
      <c r="DC128" s="81">
        <v>13.457000000000001</v>
      </c>
      <c r="DD128" s="81">
        <v>5.8280000000000003</v>
      </c>
      <c r="DE128" s="81">
        <v>0.19</v>
      </c>
      <c r="DF128" s="81">
        <v>7.8449999999999998</v>
      </c>
      <c r="DG128" s="81">
        <v>10.64</v>
      </c>
      <c r="DH128" s="81">
        <v>2.5299999999999998</v>
      </c>
      <c r="DI128" s="81">
        <v>0.24</v>
      </c>
      <c r="DJ128" s="81">
        <v>0.27100000000000002</v>
      </c>
      <c r="DK128" s="81">
        <v>1.5029999999999999</v>
      </c>
      <c r="DL128" s="81">
        <v>6.14</v>
      </c>
      <c r="DM128" s="102"/>
      <c r="DN128" s="102"/>
      <c r="DO128" s="102"/>
      <c r="DP128" s="102"/>
      <c r="DQ128" s="102"/>
      <c r="DR128" s="102"/>
      <c r="DS128" s="102"/>
      <c r="DT128" s="102"/>
      <c r="DU128" s="102"/>
      <c r="DV128" s="102"/>
      <c r="DW128" s="102"/>
      <c r="DX128" s="102"/>
      <c r="DY128" s="102"/>
      <c r="DZ128" s="102"/>
      <c r="EA128" s="102"/>
      <c r="EB128" s="102"/>
      <c r="EC128" s="102"/>
      <c r="ED128" s="102"/>
      <c r="EE128" s="102"/>
      <c r="EF128" s="102"/>
      <c r="EG128" s="102"/>
      <c r="EH128" s="102"/>
      <c r="EI128" s="102"/>
      <c r="EJ128" s="102"/>
      <c r="EK128" s="102"/>
      <c r="EL128" s="102"/>
      <c r="EM128" s="102"/>
      <c r="EN128" s="102"/>
      <c r="EO128" s="102"/>
      <c r="EP128" s="102"/>
      <c r="EQ128" s="102"/>
      <c r="ER128" s="102"/>
      <c r="ES128" s="102"/>
    </row>
    <row r="129" spans="1:149">
      <c r="A129" s="81" t="s">
        <v>459</v>
      </c>
      <c r="C129" s="81" t="s">
        <v>522</v>
      </c>
      <c r="E129" s="81" t="s">
        <v>129</v>
      </c>
      <c r="F129" s="81" t="s">
        <v>130</v>
      </c>
      <c r="DA129" s="81">
        <v>47.234000000000002</v>
      </c>
      <c r="DB129" s="81">
        <v>2.1539999999999999</v>
      </c>
      <c r="DC129" s="81">
        <v>14.21</v>
      </c>
      <c r="DD129" s="81">
        <v>12.047000000000001</v>
      </c>
      <c r="DE129" s="81">
        <v>7.6999999999999999E-2</v>
      </c>
      <c r="DF129" s="81">
        <v>8.6560000000000006</v>
      </c>
      <c r="DG129" s="81">
        <v>6.6310000000000002</v>
      </c>
      <c r="DH129" s="81">
        <v>2.62</v>
      </c>
      <c r="DI129" s="81">
        <v>1.056</v>
      </c>
      <c r="DJ129" s="81">
        <v>0.18099999999999999</v>
      </c>
      <c r="DK129" s="81">
        <v>2.3450000000000002</v>
      </c>
      <c r="DL129" s="81">
        <v>2.65</v>
      </c>
      <c r="DM129" s="102"/>
      <c r="DN129" s="102"/>
      <c r="DO129" s="102"/>
      <c r="DP129" s="102"/>
      <c r="DQ129" s="102"/>
      <c r="DR129" s="102"/>
      <c r="DS129" s="102"/>
      <c r="DT129" s="102"/>
      <c r="DU129" s="102"/>
      <c r="DV129" s="102"/>
      <c r="DW129" s="102"/>
      <c r="DX129" s="102"/>
      <c r="DY129" s="102"/>
      <c r="DZ129" s="102"/>
      <c r="EA129" s="102"/>
      <c r="EB129" s="102"/>
      <c r="EC129" s="102"/>
      <c r="ED129" s="102"/>
      <c r="EE129" s="102"/>
      <c r="EF129" s="102"/>
      <c r="EG129" s="102"/>
      <c r="EH129" s="102"/>
      <c r="EI129" s="102"/>
      <c r="EJ129" s="102"/>
      <c r="EK129" s="102"/>
      <c r="EL129" s="102"/>
      <c r="EM129" s="102"/>
      <c r="EN129" s="102"/>
      <c r="EO129" s="102"/>
      <c r="EP129" s="102"/>
      <c r="EQ129" s="102"/>
      <c r="ER129" s="102"/>
      <c r="ES129" s="102"/>
    </row>
    <row r="130" spans="1:149">
      <c r="A130" s="81" t="s">
        <v>460</v>
      </c>
      <c r="C130" s="81" t="s">
        <v>523</v>
      </c>
      <c r="E130" s="81" t="s">
        <v>129</v>
      </c>
      <c r="F130" s="81" t="s">
        <v>130</v>
      </c>
      <c r="DA130" s="81">
        <v>48.587000000000003</v>
      </c>
      <c r="DB130" s="81">
        <v>1.605</v>
      </c>
      <c r="DC130" s="81">
        <v>13.602</v>
      </c>
      <c r="DD130" s="81">
        <v>9.4420000000000002</v>
      </c>
      <c r="DE130" s="81">
        <v>8.2000000000000003E-2</v>
      </c>
      <c r="DF130" s="81">
        <v>9.843</v>
      </c>
      <c r="DG130" s="81">
        <v>6.1280000000000001</v>
      </c>
      <c r="DH130" s="81">
        <v>2.71</v>
      </c>
      <c r="DI130" s="81">
        <v>0.95099999999999996</v>
      </c>
      <c r="DJ130" s="81">
        <v>0.128</v>
      </c>
      <c r="DK130" s="81">
        <v>2.911</v>
      </c>
      <c r="DL130" s="81">
        <v>3.6</v>
      </c>
      <c r="DM130" s="102"/>
      <c r="DN130" s="102"/>
      <c r="DO130" s="102"/>
      <c r="DP130" s="102"/>
      <c r="DQ130" s="102"/>
      <c r="DR130" s="102"/>
      <c r="DS130" s="102"/>
      <c r="DT130" s="102"/>
      <c r="DU130" s="102"/>
      <c r="DV130" s="102"/>
      <c r="DW130" s="102"/>
      <c r="DX130" s="102"/>
      <c r="DY130" s="102"/>
      <c r="DZ130" s="102"/>
      <c r="EA130" s="102"/>
      <c r="EB130" s="102"/>
      <c r="EC130" s="102"/>
      <c r="ED130" s="102"/>
      <c r="EE130" s="102"/>
      <c r="EF130" s="102"/>
      <c r="EG130" s="102"/>
      <c r="EH130" s="102"/>
      <c r="EI130" s="102"/>
      <c r="EJ130" s="102"/>
      <c r="EK130" s="102"/>
      <c r="EL130" s="102"/>
      <c r="EM130" s="102"/>
      <c r="EN130" s="102"/>
      <c r="EO130" s="102"/>
      <c r="EP130" s="102"/>
      <c r="EQ130" s="102"/>
      <c r="ER130" s="102"/>
      <c r="ES130" s="102"/>
    </row>
    <row r="131" spans="1:149">
      <c r="A131" s="81" t="s">
        <v>462</v>
      </c>
      <c r="C131" s="81" t="s">
        <v>524</v>
      </c>
      <c r="E131" s="81" t="s">
        <v>129</v>
      </c>
      <c r="F131" s="81" t="s">
        <v>130</v>
      </c>
      <c r="DA131" s="81">
        <v>48.399000000000001</v>
      </c>
      <c r="DB131" s="81">
        <v>1.7809999999999999</v>
      </c>
      <c r="DC131" s="81">
        <v>14.752000000000001</v>
      </c>
      <c r="DD131" s="81">
        <v>8.5079999999999991</v>
      </c>
      <c r="DE131" s="81">
        <v>0.16700000000000001</v>
      </c>
      <c r="DF131" s="81">
        <v>9.3629999999999995</v>
      </c>
      <c r="DG131" s="81">
        <v>6.8849999999999998</v>
      </c>
      <c r="DH131" s="81">
        <v>2.65</v>
      </c>
      <c r="DI131" s="81">
        <v>0.96799999999999997</v>
      </c>
      <c r="DJ131" s="81">
        <v>0.16400000000000001</v>
      </c>
      <c r="DK131" s="81">
        <v>2.4889999999999999</v>
      </c>
      <c r="DL131" s="81">
        <v>3.94</v>
      </c>
      <c r="DM131" s="102"/>
      <c r="DN131" s="102"/>
      <c r="DO131" s="102"/>
      <c r="DP131" s="102"/>
      <c r="DQ131" s="102"/>
      <c r="DR131" s="102"/>
      <c r="DS131" s="102"/>
      <c r="DT131" s="102"/>
      <c r="DU131" s="102"/>
      <c r="DV131" s="102"/>
      <c r="DW131" s="102"/>
      <c r="DX131" s="102"/>
      <c r="DY131" s="102"/>
      <c r="DZ131" s="102"/>
      <c r="EA131" s="102"/>
      <c r="EB131" s="102"/>
      <c r="EC131" s="102"/>
      <c r="ED131" s="102"/>
      <c r="EE131" s="102"/>
      <c r="EF131" s="102"/>
      <c r="EG131" s="102"/>
      <c r="EH131" s="102"/>
      <c r="EI131" s="102"/>
      <c r="EJ131" s="102"/>
      <c r="EK131" s="102"/>
      <c r="EL131" s="102"/>
      <c r="EM131" s="102"/>
      <c r="EN131" s="102"/>
      <c r="EO131" s="102"/>
      <c r="EP131" s="102"/>
      <c r="EQ131" s="102"/>
      <c r="ER131" s="102"/>
      <c r="ES131" s="102"/>
    </row>
    <row r="132" spans="1:149">
      <c r="A132" s="81" t="s">
        <v>463</v>
      </c>
      <c r="C132" s="81" t="s">
        <v>525</v>
      </c>
      <c r="E132" s="81" t="s">
        <v>129</v>
      </c>
      <c r="F132" s="81" t="s">
        <v>130</v>
      </c>
      <c r="DA132" s="81">
        <v>48.128999999999998</v>
      </c>
      <c r="DB132" s="81">
        <v>2.0270000000000001</v>
      </c>
      <c r="DC132" s="81">
        <v>15.272</v>
      </c>
      <c r="DD132" s="81">
        <v>6.1189999999999998</v>
      </c>
      <c r="DE132" s="81">
        <v>0.21099999999999999</v>
      </c>
      <c r="DF132" s="81">
        <v>7.9050000000000002</v>
      </c>
      <c r="DG132" s="81">
        <v>10.407999999999999</v>
      </c>
      <c r="DH132" s="81">
        <v>2.63</v>
      </c>
      <c r="DI132" s="81">
        <v>0.17100000000000001</v>
      </c>
      <c r="DJ132" s="81">
        <v>0.191</v>
      </c>
      <c r="DK132" s="81">
        <v>1.9119999999999999</v>
      </c>
      <c r="DL132" s="81">
        <v>5.05</v>
      </c>
      <c r="DM132" s="102"/>
      <c r="DN132" s="102"/>
      <c r="DO132" s="102"/>
      <c r="DP132" s="102"/>
      <c r="DQ132" s="102"/>
      <c r="DR132" s="102"/>
      <c r="DS132" s="102"/>
      <c r="DT132" s="102"/>
      <c r="DU132" s="102"/>
      <c r="DV132" s="102"/>
      <c r="DW132" s="102"/>
      <c r="DX132" s="102"/>
      <c r="DY132" s="102"/>
      <c r="DZ132" s="102"/>
      <c r="EA132" s="102"/>
      <c r="EB132" s="102"/>
      <c r="EC132" s="102"/>
      <c r="ED132" s="102"/>
      <c r="EE132" s="102"/>
      <c r="EF132" s="102"/>
      <c r="EG132" s="102"/>
      <c r="EH132" s="102"/>
      <c r="EI132" s="102"/>
      <c r="EJ132" s="102"/>
      <c r="EK132" s="102"/>
      <c r="EL132" s="102"/>
      <c r="EM132" s="102"/>
      <c r="EN132" s="102"/>
      <c r="EO132" s="102"/>
      <c r="EP132" s="102"/>
      <c r="EQ132" s="102"/>
      <c r="ER132" s="102"/>
      <c r="ES132" s="102"/>
    </row>
    <row r="133" spans="1:149">
      <c r="A133" s="81" t="s">
        <v>464</v>
      </c>
      <c r="C133" s="81" t="s">
        <v>526</v>
      </c>
      <c r="E133" s="81" t="s">
        <v>129</v>
      </c>
      <c r="F133" s="81" t="s">
        <v>130</v>
      </c>
      <c r="DA133" s="81">
        <v>48.695999999999998</v>
      </c>
      <c r="DB133" s="81">
        <v>2.0259999999999998</v>
      </c>
      <c r="DC133" s="81">
        <v>15.106</v>
      </c>
      <c r="DD133" s="81">
        <v>7.1669999999999998</v>
      </c>
      <c r="DE133" s="81">
        <v>0.22900000000000001</v>
      </c>
      <c r="DF133" s="81">
        <v>7.61</v>
      </c>
      <c r="DG133" s="81">
        <v>9.5830000000000002</v>
      </c>
      <c r="DH133" s="81">
        <v>2.84</v>
      </c>
      <c r="DI133" s="81">
        <v>0.27500000000000002</v>
      </c>
      <c r="DJ133" s="81">
        <v>0.20399999999999999</v>
      </c>
      <c r="DK133" s="81">
        <v>1.6120000000000001</v>
      </c>
      <c r="DL133" s="81">
        <v>4.6900000000000004</v>
      </c>
      <c r="DM133" s="102"/>
      <c r="DN133" s="102"/>
      <c r="DO133" s="102"/>
      <c r="DP133" s="102"/>
      <c r="DQ133" s="102"/>
      <c r="DR133" s="102"/>
      <c r="DS133" s="102"/>
      <c r="DT133" s="102"/>
      <c r="DU133" s="102"/>
      <c r="DV133" s="102"/>
      <c r="DW133" s="102"/>
      <c r="DX133" s="102"/>
      <c r="DY133" s="102"/>
      <c r="DZ133" s="102"/>
      <c r="EA133" s="102"/>
      <c r="EB133" s="102"/>
      <c r="EC133" s="102"/>
      <c r="ED133" s="102"/>
      <c r="EE133" s="102"/>
      <c r="EF133" s="102"/>
      <c r="EG133" s="102"/>
      <c r="EH133" s="102"/>
      <c r="EI133" s="102"/>
      <c r="EJ133" s="102"/>
      <c r="EK133" s="102"/>
      <c r="EL133" s="102"/>
      <c r="EM133" s="102"/>
      <c r="EN133" s="102"/>
      <c r="EO133" s="102"/>
      <c r="EP133" s="102"/>
      <c r="EQ133" s="102"/>
      <c r="ER133" s="102"/>
      <c r="ES133" s="102"/>
    </row>
    <row r="134" spans="1:149">
      <c r="A134" s="81" t="s">
        <v>465</v>
      </c>
      <c r="C134" s="81" t="s">
        <v>527</v>
      </c>
      <c r="E134" s="81" t="s">
        <v>129</v>
      </c>
      <c r="F134" s="81" t="s">
        <v>130</v>
      </c>
      <c r="DA134" s="81">
        <v>48.082000000000001</v>
      </c>
      <c r="DB134" s="81">
        <v>1.7390000000000001</v>
      </c>
      <c r="DC134" s="81">
        <v>15.568</v>
      </c>
      <c r="DD134" s="81">
        <v>5.516</v>
      </c>
      <c r="DE134" s="81">
        <v>0.19700000000000001</v>
      </c>
      <c r="DF134" s="81">
        <v>8.3819999999999997</v>
      </c>
      <c r="DG134" s="81">
        <v>10.180999999999999</v>
      </c>
      <c r="DH134" s="81">
        <v>2.5</v>
      </c>
      <c r="DI134" s="81">
        <v>0.16600000000000001</v>
      </c>
      <c r="DJ134" s="81">
        <v>0.16400000000000001</v>
      </c>
      <c r="DK134" s="81">
        <v>2.1829999999999998</v>
      </c>
      <c r="DL134" s="81">
        <v>4.88</v>
      </c>
      <c r="DM134" s="102"/>
      <c r="DN134" s="102"/>
      <c r="DO134" s="102"/>
      <c r="DP134" s="102"/>
      <c r="DQ134" s="102"/>
      <c r="DR134" s="102"/>
      <c r="DS134" s="102"/>
      <c r="DT134" s="102"/>
      <c r="DU134" s="102"/>
      <c r="DV134" s="102"/>
      <c r="DW134" s="102"/>
      <c r="DX134" s="102"/>
      <c r="DY134" s="102"/>
      <c r="DZ134" s="102"/>
      <c r="EA134" s="102"/>
      <c r="EB134" s="102"/>
      <c r="EC134" s="102"/>
      <c r="ED134" s="102"/>
      <c r="EE134" s="102"/>
      <c r="EF134" s="102"/>
      <c r="EG134" s="102"/>
      <c r="EH134" s="102"/>
      <c r="EI134" s="102"/>
      <c r="EJ134" s="102"/>
      <c r="EK134" s="102"/>
      <c r="EL134" s="102"/>
      <c r="EM134" s="102"/>
      <c r="EN134" s="102"/>
      <c r="EO134" s="102"/>
      <c r="EP134" s="102"/>
      <c r="EQ134" s="102"/>
      <c r="ER134" s="102"/>
      <c r="ES134" s="102"/>
    </row>
    <row r="135" spans="1:149">
      <c r="A135" s="81" t="s">
        <v>466</v>
      </c>
      <c r="C135" s="81" t="s">
        <v>528</v>
      </c>
      <c r="E135" s="81" t="s">
        <v>129</v>
      </c>
      <c r="F135" s="81" t="s">
        <v>130</v>
      </c>
      <c r="DA135" s="81">
        <v>48.344000000000001</v>
      </c>
      <c r="DB135" s="81">
        <v>1.8089999999999999</v>
      </c>
      <c r="DC135" s="81">
        <v>14.598000000000001</v>
      </c>
      <c r="DD135" s="81">
        <v>7.76</v>
      </c>
      <c r="DE135" s="81">
        <v>0.125</v>
      </c>
      <c r="DF135" s="81">
        <v>9.3089999999999993</v>
      </c>
      <c r="DG135" s="81">
        <v>7.8810000000000002</v>
      </c>
      <c r="DH135" s="81">
        <v>2.8</v>
      </c>
      <c r="DI135" s="81">
        <v>0.32700000000000001</v>
      </c>
      <c r="DJ135" s="81">
        <v>0.17899999999999999</v>
      </c>
      <c r="DK135" s="81">
        <v>2.605</v>
      </c>
      <c r="DL135" s="81">
        <v>4.2699999999999996</v>
      </c>
      <c r="DM135" s="102"/>
      <c r="DN135" s="102"/>
      <c r="DO135" s="102"/>
      <c r="DP135" s="102"/>
      <c r="DQ135" s="102"/>
      <c r="DR135" s="102"/>
      <c r="DS135" s="102"/>
      <c r="DT135" s="102"/>
      <c r="DU135" s="102"/>
      <c r="DV135" s="102"/>
      <c r="DW135" s="102"/>
      <c r="DX135" s="102"/>
      <c r="DY135" s="102"/>
      <c r="DZ135" s="102"/>
      <c r="EA135" s="102"/>
      <c r="EB135" s="102"/>
      <c r="EC135" s="102"/>
      <c r="ED135" s="102"/>
      <c r="EE135" s="102"/>
      <c r="EF135" s="102"/>
      <c r="EG135" s="102"/>
      <c r="EH135" s="102"/>
      <c r="EI135" s="102"/>
      <c r="EJ135" s="102"/>
      <c r="EK135" s="102"/>
      <c r="EL135" s="102"/>
      <c r="EM135" s="102"/>
      <c r="EN135" s="102"/>
      <c r="EO135" s="102"/>
      <c r="EP135" s="102"/>
      <c r="EQ135" s="102"/>
      <c r="ER135" s="102"/>
      <c r="ES135" s="102"/>
    </row>
    <row r="136" spans="1:149">
      <c r="A136" s="81" t="s">
        <v>467</v>
      </c>
      <c r="C136" s="81" t="s">
        <v>529</v>
      </c>
      <c r="E136" s="81" t="s">
        <v>129</v>
      </c>
      <c r="F136" s="81" t="s">
        <v>130</v>
      </c>
      <c r="DA136" s="81">
        <v>48.923000000000002</v>
      </c>
      <c r="DB136" s="81">
        <v>2.0390000000000001</v>
      </c>
      <c r="DC136" s="81">
        <v>15.090999999999999</v>
      </c>
      <c r="DD136" s="81">
        <v>6.0049999999999999</v>
      </c>
      <c r="DE136" s="81">
        <v>0.188</v>
      </c>
      <c r="DF136" s="81">
        <v>8.0050000000000008</v>
      </c>
      <c r="DG136" s="81">
        <v>9.4550000000000001</v>
      </c>
      <c r="DH136" s="81">
        <v>2.83</v>
      </c>
      <c r="DI136" s="81">
        <v>0.378</v>
      </c>
      <c r="DJ136" s="81">
        <v>0.19800000000000001</v>
      </c>
      <c r="DK136" s="81">
        <v>1.7929999999999999</v>
      </c>
      <c r="DL136" s="81">
        <v>4.7</v>
      </c>
      <c r="DM136" s="102"/>
      <c r="DN136" s="102"/>
      <c r="DO136" s="102"/>
      <c r="DP136" s="102"/>
      <c r="DQ136" s="102"/>
      <c r="DR136" s="102"/>
      <c r="DS136" s="102"/>
      <c r="DT136" s="102"/>
      <c r="DU136" s="102"/>
      <c r="DV136" s="102"/>
      <c r="DW136" s="102"/>
      <c r="DX136" s="102"/>
      <c r="DY136" s="102"/>
      <c r="DZ136" s="102"/>
      <c r="EA136" s="102"/>
      <c r="EB136" s="102"/>
      <c r="EC136" s="102"/>
      <c r="ED136" s="102"/>
      <c r="EE136" s="102"/>
      <c r="EF136" s="102"/>
      <c r="EG136" s="102"/>
      <c r="EH136" s="102"/>
      <c r="EI136" s="102"/>
      <c r="EJ136" s="102"/>
      <c r="EK136" s="102"/>
      <c r="EL136" s="102"/>
      <c r="EM136" s="102"/>
      <c r="EN136" s="102"/>
      <c r="EO136" s="102"/>
      <c r="EP136" s="102"/>
      <c r="EQ136" s="102"/>
      <c r="ER136" s="102"/>
      <c r="ES136" s="102"/>
    </row>
    <row r="137" spans="1:149">
      <c r="A137" s="81" t="s">
        <v>468</v>
      </c>
      <c r="C137" s="81" t="s">
        <v>530</v>
      </c>
      <c r="E137" s="81" t="s">
        <v>129</v>
      </c>
      <c r="F137" s="81" t="s">
        <v>130</v>
      </c>
      <c r="DA137" s="81">
        <v>49</v>
      </c>
      <c r="DB137" s="81">
        <v>1.9490000000000001</v>
      </c>
      <c r="DC137" s="81">
        <v>14.609</v>
      </c>
      <c r="DD137" s="81">
        <v>5.7110000000000003</v>
      </c>
      <c r="DE137" s="81">
        <v>0.26900000000000002</v>
      </c>
      <c r="DF137" s="81">
        <v>7.13</v>
      </c>
      <c r="DG137" s="81">
        <v>10.208</v>
      </c>
      <c r="DH137" s="81">
        <v>2.83</v>
      </c>
      <c r="DI137" s="81">
        <v>0.14699999999999999</v>
      </c>
      <c r="DJ137" s="81">
        <v>0.2</v>
      </c>
      <c r="DK137" s="81">
        <v>1.514</v>
      </c>
      <c r="DL137" s="81">
        <v>6.06</v>
      </c>
      <c r="DM137" s="102"/>
      <c r="DN137" s="102"/>
      <c r="DO137" s="102"/>
      <c r="DP137" s="102"/>
      <c r="DQ137" s="102"/>
      <c r="DR137" s="102"/>
      <c r="DS137" s="102"/>
      <c r="DT137" s="102"/>
      <c r="DU137" s="102"/>
      <c r="DV137" s="102"/>
      <c r="DW137" s="102"/>
      <c r="DX137" s="102"/>
      <c r="DY137" s="102"/>
      <c r="DZ137" s="102"/>
      <c r="EA137" s="102"/>
      <c r="EB137" s="102"/>
      <c r="EC137" s="102"/>
      <c r="ED137" s="102"/>
      <c r="EE137" s="102"/>
      <c r="EF137" s="102"/>
      <c r="EG137" s="102"/>
      <c r="EH137" s="102"/>
      <c r="EI137" s="102"/>
      <c r="EJ137" s="102"/>
      <c r="EK137" s="102"/>
      <c r="EL137" s="102"/>
      <c r="EM137" s="102"/>
      <c r="EN137" s="102"/>
      <c r="EO137" s="102"/>
      <c r="EP137" s="102"/>
      <c r="EQ137" s="102"/>
      <c r="ER137" s="102"/>
      <c r="ES137" s="102"/>
    </row>
    <row r="138" spans="1:149">
      <c r="A138" s="81" t="s">
        <v>469</v>
      </c>
      <c r="C138" s="81" t="s">
        <v>531</v>
      </c>
      <c r="E138" s="81" t="s">
        <v>129</v>
      </c>
      <c r="F138" s="81" t="s">
        <v>130</v>
      </c>
      <c r="DA138" s="81">
        <v>47.72</v>
      </c>
      <c r="DB138" s="81">
        <v>1.61</v>
      </c>
      <c r="DC138" s="81">
        <v>12.603</v>
      </c>
      <c r="DD138" s="81">
        <v>11.26</v>
      </c>
      <c r="DE138" s="81">
        <v>9.4E-2</v>
      </c>
      <c r="DF138" s="81">
        <v>9.4789999999999992</v>
      </c>
      <c r="DG138" s="81">
        <v>5.0110000000000001</v>
      </c>
      <c r="DH138" s="81">
        <v>1.87</v>
      </c>
      <c r="DI138" s="81">
        <v>3.1909999999999998</v>
      </c>
      <c r="DJ138" s="81">
        <v>0.126</v>
      </c>
      <c r="DK138" s="81">
        <v>2.9420000000000002</v>
      </c>
      <c r="DL138" s="81">
        <v>3.34</v>
      </c>
      <c r="DM138" s="102"/>
      <c r="DN138" s="102"/>
      <c r="DO138" s="102"/>
      <c r="DP138" s="102"/>
      <c r="DQ138" s="102"/>
      <c r="DR138" s="102"/>
      <c r="DS138" s="102"/>
      <c r="DT138" s="102"/>
      <c r="DU138" s="102"/>
      <c r="DV138" s="102"/>
      <c r="DW138" s="102"/>
      <c r="DX138" s="102"/>
      <c r="DY138" s="102"/>
      <c r="DZ138" s="102"/>
      <c r="EA138" s="102"/>
      <c r="EB138" s="102"/>
      <c r="EC138" s="102"/>
      <c r="ED138" s="102"/>
      <c r="EE138" s="102"/>
      <c r="EF138" s="102"/>
      <c r="EG138" s="102"/>
      <c r="EH138" s="102"/>
      <c r="EI138" s="102"/>
      <c r="EJ138" s="102"/>
      <c r="EK138" s="102"/>
      <c r="EL138" s="102"/>
      <c r="EM138" s="102"/>
      <c r="EN138" s="102"/>
      <c r="EO138" s="102"/>
      <c r="EP138" s="102"/>
      <c r="EQ138" s="102"/>
      <c r="ER138" s="102"/>
      <c r="ES138" s="102"/>
    </row>
    <row r="139" spans="1:149">
      <c r="A139" s="81" t="s">
        <v>470</v>
      </c>
      <c r="C139" s="81" t="s">
        <v>532</v>
      </c>
      <c r="E139" s="81" t="s">
        <v>129</v>
      </c>
      <c r="F139" s="81" t="s">
        <v>130</v>
      </c>
      <c r="DA139" s="81">
        <v>48.276000000000003</v>
      </c>
      <c r="DB139" s="81">
        <v>1.8979999999999999</v>
      </c>
      <c r="DC139" s="81">
        <v>14.792999999999999</v>
      </c>
      <c r="DD139" s="81">
        <v>4.476</v>
      </c>
      <c r="DE139" s="81">
        <v>0.17</v>
      </c>
      <c r="DF139" s="81">
        <v>7.76</v>
      </c>
      <c r="DG139" s="81">
        <v>11.301</v>
      </c>
      <c r="DH139" s="81">
        <v>2.48</v>
      </c>
      <c r="DI139" s="81">
        <v>0.13500000000000001</v>
      </c>
      <c r="DJ139" s="81">
        <v>0.19</v>
      </c>
      <c r="DK139" s="81">
        <v>1.6679999999999999</v>
      </c>
      <c r="DL139" s="81">
        <v>6.45</v>
      </c>
      <c r="DM139" s="102"/>
      <c r="DN139" s="102"/>
      <c r="DO139" s="102"/>
      <c r="DP139" s="102"/>
      <c r="DQ139" s="102"/>
      <c r="DR139" s="102"/>
      <c r="DS139" s="102"/>
      <c r="DT139" s="102"/>
      <c r="DU139" s="102"/>
      <c r="DV139" s="102"/>
      <c r="DW139" s="102"/>
      <c r="DX139" s="102"/>
      <c r="DY139" s="102"/>
      <c r="DZ139" s="102"/>
      <c r="EA139" s="102"/>
      <c r="EB139" s="102"/>
      <c r="EC139" s="102"/>
      <c r="ED139" s="102"/>
      <c r="EE139" s="102"/>
      <c r="EF139" s="102"/>
      <c r="EG139" s="102"/>
      <c r="EH139" s="102"/>
      <c r="EI139" s="102"/>
      <c r="EJ139" s="102"/>
      <c r="EK139" s="102"/>
      <c r="EL139" s="102"/>
      <c r="EM139" s="102"/>
      <c r="EN139" s="102"/>
      <c r="EO139" s="102"/>
      <c r="EP139" s="102"/>
      <c r="EQ139" s="102"/>
      <c r="ER139" s="102"/>
      <c r="ES139" s="102"/>
    </row>
    <row r="140" spans="1:149">
      <c r="A140" s="81" t="s">
        <v>471</v>
      </c>
      <c r="C140" s="81" t="s">
        <v>533</v>
      </c>
      <c r="E140" s="81" t="s">
        <v>129</v>
      </c>
      <c r="F140" s="81" t="s">
        <v>130</v>
      </c>
      <c r="DA140" s="81">
        <v>47.832000000000001</v>
      </c>
      <c r="DB140" s="81">
        <v>1.84</v>
      </c>
      <c r="DC140" s="81">
        <v>14.974</v>
      </c>
      <c r="DD140" s="81">
        <v>7.0359999999999996</v>
      </c>
      <c r="DE140" s="81">
        <v>0.17100000000000001</v>
      </c>
      <c r="DF140" s="81">
        <v>8.7669999999999995</v>
      </c>
      <c r="DG140" s="81">
        <v>8.5589999999999993</v>
      </c>
      <c r="DH140" s="81">
        <v>2.54</v>
      </c>
      <c r="DI140" s="81">
        <v>0.441</v>
      </c>
      <c r="DJ140" s="81">
        <v>0.187</v>
      </c>
      <c r="DK140" s="81">
        <v>2.028</v>
      </c>
      <c r="DL140" s="81">
        <v>4.92</v>
      </c>
      <c r="DM140" s="102"/>
      <c r="DN140" s="102"/>
      <c r="DO140" s="102"/>
      <c r="DP140" s="102"/>
      <c r="DQ140" s="102"/>
      <c r="DR140" s="102"/>
      <c r="DS140" s="102"/>
      <c r="DT140" s="102"/>
      <c r="DU140" s="102"/>
      <c r="DV140" s="102"/>
      <c r="DW140" s="102"/>
      <c r="DX140" s="102"/>
      <c r="DY140" s="102"/>
      <c r="DZ140" s="102"/>
      <c r="EA140" s="102"/>
      <c r="EB140" s="102"/>
      <c r="EC140" s="102"/>
      <c r="ED140" s="102"/>
      <c r="EE140" s="102"/>
      <c r="EF140" s="102"/>
      <c r="EG140" s="102"/>
      <c r="EH140" s="102"/>
      <c r="EI140" s="102"/>
      <c r="EJ140" s="102"/>
      <c r="EK140" s="102"/>
      <c r="EL140" s="102"/>
      <c r="EM140" s="102"/>
      <c r="EN140" s="102"/>
      <c r="EO140" s="102"/>
      <c r="EP140" s="102"/>
      <c r="EQ140" s="102"/>
      <c r="ER140" s="102"/>
      <c r="ES140" s="102"/>
    </row>
    <row r="141" spans="1:149">
      <c r="A141" s="81" t="s">
        <v>472</v>
      </c>
      <c r="C141" s="81" t="s">
        <v>534</v>
      </c>
      <c r="E141" s="81" t="s">
        <v>129</v>
      </c>
      <c r="F141" s="81" t="s">
        <v>130</v>
      </c>
      <c r="DA141" s="81">
        <v>47.512999999999998</v>
      </c>
      <c r="DB141" s="81">
        <v>2.0369999999999999</v>
      </c>
      <c r="DC141" s="81">
        <v>14.327999999999999</v>
      </c>
      <c r="DD141" s="81">
        <v>7.891</v>
      </c>
      <c r="DE141" s="81">
        <v>0.20300000000000001</v>
      </c>
      <c r="DF141" s="81">
        <v>9.3390000000000004</v>
      </c>
      <c r="DG141" s="81">
        <v>7.1</v>
      </c>
      <c r="DH141" s="81">
        <v>2.5499999999999998</v>
      </c>
      <c r="DI141" s="81">
        <v>0.68100000000000005</v>
      </c>
      <c r="DJ141" s="81">
        <v>0.19800000000000001</v>
      </c>
      <c r="DK141" s="81">
        <v>2.5950000000000002</v>
      </c>
      <c r="DL141" s="81">
        <v>5.35</v>
      </c>
      <c r="DM141" s="102"/>
      <c r="DN141" s="102"/>
      <c r="DO141" s="102"/>
      <c r="DP141" s="102"/>
      <c r="DQ141" s="102"/>
      <c r="DR141" s="102"/>
      <c r="DS141" s="102"/>
      <c r="DT141" s="102"/>
      <c r="DU141" s="102"/>
      <c r="DV141" s="102"/>
      <c r="DW141" s="102"/>
      <c r="DX141" s="102"/>
      <c r="DY141" s="102"/>
      <c r="DZ141" s="102"/>
      <c r="EA141" s="102"/>
      <c r="EB141" s="102"/>
      <c r="EC141" s="102"/>
      <c r="ED141" s="102"/>
      <c r="EE141" s="102"/>
      <c r="EF141" s="102"/>
      <c r="EG141" s="102"/>
      <c r="EH141" s="102"/>
      <c r="EI141" s="102"/>
      <c r="EJ141" s="102"/>
      <c r="EK141" s="102"/>
      <c r="EL141" s="102"/>
      <c r="EM141" s="102"/>
      <c r="EN141" s="102"/>
      <c r="EO141" s="102"/>
      <c r="EP141" s="102"/>
      <c r="EQ141" s="102"/>
      <c r="ER141" s="102"/>
      <c r="ES141" s="102"/>
    </row>
    <row r="142" spans="1:149">
      <c r="A142" s="81" t="s">
        <v>473</v>
      </c>
      <c r="C142" s="81" t="s">
        <v>535</v>
      </c>
      <c r="E142" s="81" t="s">
        <v>129</v>
      </c>
      <c r="F142" s="81" t="s">
        <v>130</v>
      </c>
      <c r="DA142" s="81">
        <v>47.991999999999997</v>
      </c>
      <c r="DB142" s="81">
        <v>2.7469999999999999</v>
      </c>
      <c r="DC142" s="81">
        <v>13.597</v>
      </c>
      <c r="DD142" s="81">
        <v>7.6040000000000001</v>
      </c>
      <c r="DE142" s="81">
        <v>0.14299999999999999</v>
      </c>
      <c r="DF142" s="81">
        <v>7.1639999999999997</v>
      </c>
      <c r="DG142" s="81">
        <v>9.6940000000000008</v>
      </c>
      <c r="DH142" s="81">
        <v>2.71</v>
      </c>
      <c r="DI142" s="81">
        <v>0.24399999999999999</v>
      </c>
      <c r="DJ142" s="81">
        <v>0.27800000000000002</v>
      </c>
      <c r="DK142" s="81">
        <v>1.41</v>
      </c>
      <c r="DL142" s="81">
        <v>5.93</v>
      </c>
      <c r="DM142" s="102"/>
      <c r="DN142" s="102"/>
      <c r="DO142" s="102"/>
      <c r="DP142" s="102"/>
      <c r="DQ142" s="102"/>
      <c r="DR142" s="102"/>
      <c r="DS142" s="102"/>
      <c r="DT142" s="102"/>
      <c r="DU142" s="102"/>
      <c r="DV142" s="102"/>
      <c r="DW142" s="102"/>
      <c r="DX142" s="102"/>
      <c r="DY142" s="102"/>
      <c r="DZ142" s="102"/>
      <c r="EA142" s="102"/>
      <c r="EB142" s="102"/>
      <c r="EC142" s="102"/>
      <c r="ED142" s="102"/>
      <c r="EE142" s="102"/>
      <c r="EF142" s="102"/>
      <c r="EG142" s="102"/>
      <c r="EH142" s="102"/>
      <c r="EI142" s="102"/>
      <c r="EJ142" s="102"/>
      <c r="EK142" s="102"/>
      <c r="EL142" s="102"/>
      <c r="EM142" s="102"/>
      <c r="EN142" s="102"/>
      <c r="EO142" s="102"/>
      <c r="EP142" s="102"/>
      <c r="EQ142" s="102"/>
      <c r="ER142" s="102"/>
      <c r="ES142" s="102"/>
    </row>
    <row r="143" spans="1:149">
      <c r="A143" s="81" t="s">
        <v>474</v>
      </c>
      <c r="C143" s="81" t="s">
        <v>536</v>
      </c>
      <c r="E143" s="81" t="s">
        <v>129</v>
      </c>
      <c r="F143" s="81" t="s">
        <v>130</v>
      </c>
      <c r="DA143" s="81">
        <v>48.206000000000003</v>
      </c>
      <c r="DB143" s="81">
        <v>2.2229999999999999</v>
      </c>
      <c r="DC143" s="81">
        <v>13.792</v>
      </c>
      <c r="DD143" s="81">
        <v>5.048</v>
      </c>
      <c r="DE143" s="81">
        <v>0.29699999999999999</v>
      </c>
      <c r="DF143" s="81">
        <v>7.5679999999999996</v>
      </c>
      <c r="DG143" s="81">
        <v>10.803000000000001</v>
      </c>
      <c r="DH143" s="81">
        <v>2.5099999999999998</v>
      </c>
      <c r="DI143" s="81">
        <v>0.127</v>
      </c>
      <c r="DJ143" s="81">
        <v>0.22500000000000001</v>
      </c>
      <c r="DK143" s="81">
        <v>1.3740000000000001</v>
      </c>
      <c r="DL143" s="81">
        <v>7.22</v>
      </c>
      <c r="DM143" s="102"/>
      <c r="DN143" s="102"/>
      <c r="DO143" s="102"/>
      <c r="DP143" s="102"/>
      <c r="DQ143" s="102"/>
      <c r="DR143" s="102"/>
      <c r="DS143" s="102"/>
      <c r="DT143" s="102"/>
      <c r="DU143" s="102"/>
      <c r="DV143" s="102"/>
      <c r="DW143" s="102"/>
      <c r="DX143" s="102"/>
      <c r="DY143" s="102"/>
      <c r="DZ143" s="102"/>
      <c r="EA143" s="102"/>
      <c r="EB143" s="102"/>
      <c r="EC143" s="102"/>
      <c r="ED143" s="102"/>
      <c r="EE143" s="102"/>
      <c r="EF143" s="102"/>
      <c r="EG143" s="102"/>
      <c r="EH143" s="102"/>
      <c r="EI143" s="102"/>
      <c r="EJ143" s="102"/>
      <c r="EK143" s="102"/>
      <c r="EL143" s="102"/>
      <c r="EM143" s="102"/>
      <c r="EN143" s="102"/>
      <c r="EO143" s="102"/>
      <c r="EP143" s="102"/>
      <c r="EQ143" s="102"/>
      <c r="ER143" s="102"/>
      <c r="ES143" s="102"/>
    </row>
    <row r="144" spans="1:149">
      <c r="A144" s="81" t="s">
        <v>475</v>
      </c>
      <c r="C144" s="81" t="s">
        <v>537</v>
      </c>
      <c r="E144" s="81" t="s">
        <v>129</v>
      </c>
      <c r="F144" s="81" t="s">
        <v>130</v>
      </c>
      <c r="DA144" s="81">
        <v>47.911999999999999</v>
      </c>
      <c r="DB144" s="81">
        <v>2.7189999999999999</v>
      </c>
      <c r="DC144" s="81">
        <v>13.622999999999999</v>
      </c>
      <c r="DD144" s="81">
        <v>6.2380000000000004</v>
      </c>
      <c r="DE144" s="81">
        <v>0.33400000000000002</v>
      </c>
      <c r="DF144" s="81">
        <v>7.202</v>
      </c>
      <c r="DG144" s="81">
        <v>9.7520000000000007</v>
      </c>
      <c r="DH144" s="81">
        <v>2.89</v>
      </c>
      <c r="DI144" s="81">
        <v>0.18099999999999999</v>
      </c>
      <c r="DJ144" s="81">
        <v>0.27500000000000002</v>
      </c>
      <c r="DK144" s="81">
        <v>1.5069999999999999</v>
      </c>
      <c r="DL144" s="81">
        <v>7.34</v>
      </c>
      <c r="DM144" s="102"/>
      <c r="DN144" s="102"/>
      <c r="DO144" s="102"/>
      <c r="DP144" s="102"/>
      <c r="DQ144" s="102"/>
      <c r="DR144" s="102"/>
      <c r="DS144" s="102"/>
      <c r="DT144" s="102"/>
      <c r="DU144" s="102"/>
      <c r="DV144" s="102"/>
      <c r="DW144" s="102"/>
      <c r="DX144" s="102"/>
      <c r="DY144" s="102"/>
      <c r="DZ144" s="102"/>
      <c r="EA144" s="102"/>
      <c r="EB144" s="102"/>
      <c r="EC144" s="102"/>
      <c r="ED144" s="102"/>
      <c r="EE144" s="102"/>
      <c r="EF144" s="102"/>
      <c r="EG144" s="102"/>
      <c r="EH144" s="102"/>
      <c r="EI144" s="102"/>
      <c r="EJ144" s="102"/>
      <c r="EK144" s="102"/>
      <c r="EL144" s="102"/>
      <c r="EM144" s="102"/>
      <c r="EN144" s="102"/>
      <c r="EO144" s="102"/>
      <c r="EP144" s="102"/>
      <c r="EQ144" s="102"/>
      <c r="ER144" s="102"/>
      <c r="ES144" s="102"/>
    </row>
    <row r="145" spans="1:149">
      <c r="A145" s="81" t="s">
        <v>476</v>
      </c>
      <c r="C145" s="81" t="s">
        <v>538</v>
      </c>
      <c r="E145" s="81" t="s">
        <v>129</v>
      </c>
      <c r="F145" s="81" t="s">
        <v>130</v>
      </c>
      <c r="DA145" s="81">
        <v>46.920999999999999</v>
      </c>
      <c r="DB145" s="81">
        <v>2.0270000000000001</v>
      </c>
      <c r="DC145" s="81">
        <v>13.452999999999999</v>
      </c>
      <c r="DD145" s="81">
        <v>9.4640000000000004</v>
      </c>
      <c r="DE145" s="81">
        <v>0.16300000000000001</v>
      </c>
      <c r="DF145" s="81">
        <v>8.4979999999999993</v>
      </c>
      <c r="DG145" s="81">
        <v>9.3689999999999998</v>
      </c>
      <c r="DH145" s="81">
        <v>2.46</v>
      </c>
      <c r="DI145" s="81">
        <v>0.40300000000000002</v>
      </c>
      <c r="DJ145" s="81">
        <v>0.14599999999999999</v>
      </c>
      <c r="DK145" s="81">
        <v>1.7969999999999999</v>
      </c>
      <c r="DL145" s="81">
        <v>5.09</v>
      </c>
      <c r="DM145" s="102"/>
      <c r="DN145" s="102"/>
      <c r="DO145" s="102"/>
      <c r="DP145" s="102"/>
      <c r="DQ145" s="102"/>
      <c r="DR145" s="102"/>
      <c r="DS145" s="102"/>
      <c r="DT145" s="102"/>
      <c r="DU145" s="102"/>
      <c r="DV145" s="102"/>
      <c r="DW145" s="102"/>
      <c r="DX145" s="102"/>
      <c r="DY145" s="102"/>
      <c r="DZ145" s="102"/>
      <c r="EA145" s="102"/>
      <c r="EB145" s="102"/>
      <c r="EC145" s="102"/>
      <c r="ED145" s="102"/>
      <c r="EE145" s="102"/>
      <c r="EF145" s="102"/>
      <c r="EG145" s="102"/>
      <c r="EH145" s="102"/>
      <c r="EI145" s="102"/>
      <c r="EJ145" s="102"/>
      <c r="EK145" s="102"/>
      <c r="EL145" s="102"/>
      <c r="EM145" s="102"/>
      <c r="EN145" s="102"/>
      <c r="EO145" s="102"/>
      <c r="EP145" s="102"/>
      <c r="EQ145" s="102"/>
      <c r="ER145" s="102"/>
      <c r="ES145" s="102"/>
    </row>
    <row r="146" spans="1:149">
      <c r="A146" s="81" t="s">
        <v>477</v>
      </c>
      <c r="C146" s="81" t="s">
        <v>539</v>
      </c>
      <c r="E146" s="81" t="s">
        <v>129</v>
      </c>
      <c r="F146" s="81" t="s">
        <v>130</v>
      </c>
      <c r="DA146" s="81">
        <v>49.18</v>
      </c>
      <c r="DB146" s="81">
        <v>1.853</v>
      </c>
      <c r="DC146" s="81">
        <v>13.862</v>
      </c>
      <c r="DD146" s="81">
        <v>3.9670000000000001</v>
      </c>
      <c r="DE146" s="81">
        <v>0.218</v>
      </c>
      <c r="DF146" s="81">
        <v>7.1680000000000001</v>
      </c>
      <c r="DG146" s="81">
        <v>11.356</v>
      </c>
      <c r="DH146" s="81">
        <v>2.57</v>
      </c>
      <c r="DI146" s="81">
        <v>0.17</v>
      </c>
      <c r="DJ146" s="81">
        <v>0.17899999999999999</v>
      </c>
      <c r="DK146" s="81">
        <v>0.94899999999999995</v>
      </c>
      <c r="DL146" s="81">
        <v>8.08</v>
      </c>
      <c r="DM146" s="102">
        <v>43.022015189430988</v>
      </c>
      <c r="DN146" s="102">
        <v>338.92354891805218</v>
      </c>
      <c r="DO146" s="102">
        <v>194.25425656838942</v>
      </c>
      <c r="DP146" s="102">
        <v>44.926341124938823</v>
      </c>
      <c r="DQ146" s="102">
        <v>82.535153862303545</v>
      </c>
      <c r="DR146" s="102">
        <v>149.76011696245189</v>
      </c>
      <c r="DS146" s="102">
        <v>100.48023941036438</v>
      </c>
      <c r="DT146" s="102">
        <v>0.56441428350978562</v>
      </c>
      <c r="DU146" s="102">
        <v>176.96986223956333</v>
      </c>
      <c r="DV146" s="102">
        <v>32.469886396517673</v>
      </c>
      <c r="DW146" s="102">
        <v>107.98815710556927</v>
      </c>
      <c r="DX146" s="102">
        <v>7.2985438600838783</v>
      </c>
      <c r="DY146" s="102">
        <v>5.9108955251307882E-2</v>
      </c>
      <c r="DZ146" s="102">
        <v>45.538123238144401</v>
      </c>
      <c r="EA146" s="102">
        <v>7.0804833344945406</v>
      </c>
      <c r="EB146" s="102">
        <v>17.655497372082316</v>
      </c>
      <c r="EC146" s="102">
        <v>2.6131317728054078</v>
      </c>
      <c r="ED146" s="102">
        <v>13.148473344105115</v>
      </c>
      <c r="EE146" s="102">
        <v>4.0294226721091198</v>
      </c>
      <c r="EF146" s="102">
        <v>1.4323994115651626</v>
      </c>
      <c r="EG146" s="102">
        <v>4.6900000000000004</v>
      </c>
      <c r="EH146" s="102">
        <v>0.8817074817457442</v>
      </c>
      <c r="EI146" s="102">
        <v>5.3246361131978768</v>
      </c>
      <c r="EJ146" s="102">
        <v>1.1467353584434488</v>
      </c>
      <c r="EK146" s="102">
        <v>3.1685988635032403</v>
      </c>
      <c r="EL146" s="102">
        <v>0.44214357027204459</v>
      </c>
      <c r="EM146" s="102">
        <v>2.8973632461162051</v>
      </c>
      <c r="EN146" s="102">
        <v>0.44765457525132946</v>
      </c>
      <c r="EO146" s="102">
        <v>2.706206960872688</v>
      </c>
      <c r="EP146" s="102">
        <v>0.4324062887102253</v>
      </c>
      <c r="EQ146" s="102">
        <v>0.85712483915442006</v>
      </c>
      <c r="ER146" s="102">
        <v>0.61580422845995486</v>
      </c>
      <c r="ES146" s="102">
        <v>0.18886350745686178</v>
      </c>
    </row>
    <row r="147" spans="1:149">
      <c r="A147" s="81" t="s">
        <v>478</v>
      </c>
      <c r="C147" s="81" t="s">
        <v>540</v>
      </c>
      <c r="E147" s="81" t="s">
        <v>129</v>
      </c>
      <c r="F147" s="81" t="s">
        <v>130</v>
      </c>
      <c r="DA147" s="81">
        <v>47.982999999999997</v>
      </c>
      <c r="DB147" s="81">
        <v>1.9339999999999999</v>
      </c>
      <c r="DC147" s="81">
        <v>14.097</v>
      </c>
      <c r="DD147" s="81">
        <v>8.9090000000000007</v>
      </c>
      <c r="DE147" s="81">
        <v>0.13400000000000001</v>
      </c>
      <c r="DF147" s="81">
        <v>7.3360000000000003</v>
      </c>
      <c r="DG147" s="81">
        <v>9.468</v>
      </c>
      <c r="DH147" s="81">
        <v>2.68</v>
      </c>
      <c r="DI147" s="81">
        <v>0.51500000000000001</v>
      </c>
      <c r="DJ147" s="81">
        <v>0.221</v>
      </c>
      <c r="DK147" s="81">
        <v>1.7709999999999999</v>
      </c>
      <c r="DL147" s="81">
        <v>4.2300000000000004</v>
      </c>
      <c r="DM147" s="102"/>
      <c r="DN147" s="102"/>
      <c r="DO147" s="102"/>
      <c r="DP147" s="102"/>
      <c r="DQ147" s="102"/>
      <c r="DR147" s="102"/>
      <c r="DS147" s="102"/>
      <c r="DT147" s="102"/>
      <c r="DU147" s="102"/>
      <c r="DV147" s="102"/>
      <c r="DW147" s="102"/>
      <c r="DX147" s="102"/>
      <c r="DY147" s="102"/>
      <c r="DZ147" s="102"/>
      <c r="EA147" s="102"/>
      <c r="EB147" s="102"/>
      <c r="EC147" s="102"/>
      <c r="ED147" s="102"/>
      <c r="EE147" s="102"/>
      <c r="EF147" s="102"/>
      <c r="EG147" s="102"/>
      <c r="EH147" s="102"/>
      <c r="EI147" s="102"/>
      <c r="EJ147" s="102"/>
      <c r="EK147" s="102"/>
      <c r="EL147" s="102"/>
      <c r="EM147" s="102"/>
      <c r="EN147" s="102"/>
      <c r="EO147" s="102"/>
      <c r="EP147" s="102"/>
      <c r="EQ147" s="102"/>
      <c r="ER147" s="102"/>
      <c r="ES147" s="102"/>
    </row>
    <row r="148" spans="1:149">
      <c r="A148" s="81" t="s">
        <v>479</v>
      </c>
      <c r="C148" s="81" t="s">
        <v>541</v>
      </c>
      <c r="E148" s="81" t="s">
        <v>129</v>
      </c>
      <c r="F148" s="81" t="s">
        <v>130</v>
      </c>
      <c r="DA148" s="81">
        <v>49.066000000000003</v>
      </c>
      <c r="DB148" s="81">
        <v>1.8109999999999999</v>
      </c>
      <c r="DC148" s="81">
        <v>13.615</v>
      </c>
      <c r="DD148" s="81">
        <v>10.987</v>
      </c>
      <c r="DE148" s="81">
        <v>6.9000000000000006E-2</v>
      </c>
      <c r="DF148" s="81">
        <v>8.6649999999999991</v>
      </c>
      <c r="DG148" s="81">
        <v>5.3739999999999997</v>
      </c>
      <c r="DH148" s="81">
        <v>2.86</v>
      </c>
      <c r="DI148" s="81">
        <v>0.95299999999999996</v>
      </c>
      <c r="DJ148" s="81">
        <v>0.151</v>
      </c>
      <c r="DK148" s="81">
        <v>3.0219999999999998</v>
      </c>
      <c r="DL148" s="81">
        <v>2.62</v>
      </c>
      <c r="DM148" s="102"/>
      <c r="DN148" s="102"/>
      <c r="DO148" s="102"/>
      <c r="DP148" s="102"/>
      <c r="DQ148" s="102"/>
      <c r="DR148" s="102"/>
      <c r="DS148" s="102"/>
      <c r="DT148" s="102"/>
      <c r="DU148" s="102"/>
      <c r="DV148" s="102"/>
      <c r="DW148" s="102"/>
      <c r="DX148" s="102"/>
      <c r="DY148" s="102"/>
      <c r="DZ148" s="102"/>
      <c r="EA148" s="102"/>
      <c r="EB148" s="102"/>
      <c r="EC148" s="102"/>
      <c r="ED148" s="102"/>
      <c r="EE148" s="102"/>
      <c r="EF148" s="102"/>
      <c r="EG148" s="102"/>
      <c r="EH148" s="102"/>
      <c r="EI148" s="102"/>
      <c r="EJ148" s="102"/>
      <c r="EK148" s="102"/>
      <c r="EL148" s="102"/>
      <c r="EM148" s="102"/>
      <c r="EN148" s="102"/>
      <c r="EO148" s="102"/>
      <c r="EP148" s="102"/>
      <c r="EQ148" s="102"/>
      <c r="ER148" s="102"/>
      <c r="ES148" s="102"/>
    </row>
    <row r="149" spans="1:149">
      <c r="A149" s="81" t="s">
        <v>480</v>
      </c>
      <c r="C149" s="81" t="s">
        <v>542</v>
      </c>
      <c r="E149" s="81" t="s">
        <v>129</v>
      </c>
      <c r="F149" s="81" t="s">
        <v>130</v>
      </c>
      <c r="DA149" s="81">
        <v>47.695</v>
      </c>
      <c r="DB149" s="81">
        <v>1.9319999999999999</v>
      </c>
      <c r="DC149" s="81">
        <v>13.141999999999999</v>
      </c>
      <c r="DD149" s="81">
        <v>11.101000000000001</v>
      </c>
      <c r="DE149" s="81">
        <v>0.114</v>
      </c>
      <c r="DF149" s="81">
        <v>8.8699999999999992</v>
      </c>
      <c r="DG149" s="81">
        <v>7.3</v>
      </c>
      <c r="DH149" s="81">
        <v>2.77</v>
      </c>
      <c r="DI149" s="81">
        <v>0.879</v>
      </c>
      <c r="DJ149" s="81">
        <v>0.126</v>
      </c>
      <c r="DK149" s="81">
        <v>1.8660000000000001</v>
      </c>
      <c r="DL149" s="81">
        <v>4.01</v>
      </c>
      <c r="DM149" s="102">
        <v>45.15624166988605</v>
      </c>
      <c r="DN149" s="102">
        <v>277.6936003513722</v>
      </c>
      <c r="DO149" s="102"/>
      <c r="DP149" s="102">
        <v>44.685151720833609</v>
      </c>
      <c r="DQ149" s="102">
        <v>79.125397172698271</v>
      </c>
      <c r="DR149" s="102">
        <v>134.63001335311563</v>
      </c>
      <c r="DS149" s="102">
        <v>97.330748106330077</v>
      </c>
      <c r="DT149" s="102">
        <v>4.3516771838754034</v>
      </c>
      <c r="DU149" s="102">
        <v>156.73216762182687</v>
      </c>
      <c r="DV149" s="102">
        <v>22.127024424826882</v>
      </c>
      <c r="DW149" s="102">
        <v>97.165686493233281</v>
      </c>
      <c r="DX149" s="102">
        <v>4.3834626493172175</v>
      </c>
      <c r="DY149" s="102">
        <v>7.6720485250645953E-2</v>
      </c>
      <c r="DZ149" s="102">
        <v>35.20078134930381</v>
      </c>
      <c r="EA149" s="102">
        <v>4.8061837738074145</v>
      </c>
      <c r="EB149" s="102">
        <v>12.700775823101651</v>
      </c>
      <c r="EC149" s="102"/>
      <c r="ED149" s="102"/>
      <c r="EE149" s="102"/>
      <c r="EF149" s="102"/>
      <c r="EG149" s="102"/>
      <c r="EH149" s="102"/>
      <c r="EI149" s="102">
        <v>3.7951917923557326</v>
      </c>
      <c r="EJ149" s="102">
        <v>0.79935484451107497</v>
      </c>
      <c r="EK149" s="102"/>
      <c r="EL149" s="102">
        <v>0.30807946277898757</v>
      </c>
      <c r="EM149" s="102"/>
      <c r="EN149" s="102"/>
      <c r="EO149" s="102">
        <v>2.4913251927653124</v>
      </c>
      <c r="EP149" s="102">
        <v>0.31241080049795211</v>
      </c>
      <c r="EQ149" s="102">
        <v>0.92176409244675439</v>
      </c>
      <c r="ER149" s="102">
        <v>0.58667873899748368</v>
      </c>
      <c r="ES149" s="102">
        <v>0.12857543649789202</v>
      </c>
    </row>
    <row r="150" spans="1:149">
      <c r="A150" s="81" t="s">
        <v>481</v>
      </c>
      <c r="C150" s="81" t="s">
        <v>543</v>
      </c>
      <c r="E150" s="81" t="s">
        <v>129</v>
      </c>
      <c r="F150" s="81" t="s">
        <v>130</v>
      </c>
      <c r="DA150" s="81">
        <v>48.621000000000002</v>
      </c>
      <c r="DB150" s="81">
        <v>1.9990000000000001</v>
      </c>
      <c r="DC150" s="81">
        <v>14.823</v>
      </c>
      <c r="DD150" s="81">
        <v>5.6020000000000003</v>
      </c>
      <c r="DE150" s="81">
        <v>0.222</v>
      </c>
      <c r="DF150" s="81">
        <v>7.3940000000000001</v>
      </c>
      <c r="DG150" s="81">
        <v>10.701000000000001</v>
      </c>
      <c r="DH150" s="81">
        <v>2.72</v>
      </c>
      <c r="DI150" s="81">
        <v>0.16400000000000001</v>
      </c>
      <c r="DJ150" s="81">
        <v>0.193</v>
      </c>
      <c r="DK150" s="81">
        <v>1.5129999999999999</v>
      </c>
      <c r="DL150" s="81">
        <v>5.51</v>
      </c>
      <c r="DM150" s="102"/>
      <c r="DN150" s="102"/>
      <c r="DO150" s="102"/>
      <c r="DP150" s="102"/>
      <c r="DQ150" s="102"/>
      <c r="DR150" s="102"/>
      <c r="DS150" s="102"/>
      <c r="DT150" s="102"/>
      <c r="DU150" s="102"/>
      <c r="DV150" s="102"/>
      <c r="DW150" s="102"/>
      <c r="DX150" s="102"/>
      <c r="DY150" s="102"/>
      <c r="DZ150" s="102"/>
      <c r="EA150" s="102"/>
      <c r="EB150" s="102"/>
      <c r="EC150" s="102"/>
      <c r="ED150" s="102"/>
      <c r="EE150" s="102"/>
      <c r="EF150" s="102"/>
      <c r="EG150" s="102"/>
      <c r="EH150" s="102"/>
      <c r="EI150" s="102"/>
      <c r="EJ150" s="102"/>
      <c r="EK150" s="102"/>
      <c r="EL150" s="102"/>
      <c r="EM150" s="102"/>
      <c r="EN150" s="102"/>
      <c r="EO150" s="102"/>
      <c r="EP150" s="102"/>
      <c r="EQ150" s="102"/>
      <c r="ER150" s="102"/>
      <c r="ES150" s="102"/>
    </row>
    <row r="151" spans="1:149">
      <c r="A151" s="81" t="s">
        <v>482</v>
      </c>
      <c r="C151" s="81" t="s">
        <v>544</v>
      </c>
      <c r="E151" s="81" t="s">
        <v>129</v>
      </c>
      <c r="F151" s="81" t="s">
        <v>130</v>
      </c>
      <c r="DA151" s="81">
        <v>48.497999999999998</v>
      </c>
      <c r="DB151" s="81">
        <v>2.37</v>
      </c>
      <c r="DC151" s="81">
        <v>14.417999999999999</v>
      </c>
      <c r="DD151" s="81">
        <v>9.4169999999999998</v>
      </c>
      <c r="DE151" s="81">
        <v>0.129</v>
      </c>
      <c r="DF151" s="81">
        <v>6.7030000000000003</v>
      </c>
      <c r="DG151" s="81">
        <v>8.3529999999999998</v>
      </c>
      <c r="DH151" s="81">
        <v>3.01</v>
      </c>
      <c r="DI151" s="81">
        <v>0.503</v>
      </c>
      <c r="DJ151" s="81">
        <v>0.24199999999999999</v>
      </c>
      <c r="DK151" s="81">
        <v>1.869</v>
      </c>
      <c r="DL151" s="81">
        <v>4.3</v>
      </c>
      <c r="DM151" s="102"/>
      <c r="DN151" s="102"/>
      <c r="DO151" s="102"/>
      <c r="DP151" s="102"/>
      <c r="DQ151" s="102"/>
      <c r="DR151" s="102"/>
      <c r="DS151" s="102"/>
      <c r="DT151" s="102"/>
      <c r="DU151" s="102"/>
      <c r="DV151" s="102"/>
      <c r="DW151" s="102"/>
      <c r="DX151" s="102"/>
      <c r="DY151" s="102"/>
      <c r="DZ151" s="102"/>
      <c r="EA151" s="102"/>
      <c r="EB151" s="102"/>
      <c r="EC151" s="102"/>
      <c r="ED151" s="102"/>
      <c r="EE151" s="102"/>
      <c r="EF151" s="102"/>
      <c r="EG151" s="102"/>
      <c r="EH151" s="102"/>
      <c r="EI151" s="102"/>
      <c r="EJ151" s="102"/>
      <c r="EK151" s="102"/>
      <c r="EL151" s="102"/>
      <c r="EM151" s="102"/>
      <c r="EN151" s="102"/>
      <c r="EO151" s="102"/>
      <c r="EP151" s="102"/>
      <c r="EQ151" s="102"/>
      <c r="ER151" s="102"/>
      <c r="ES151" s="102"/>
    </row>
    <row r="152" spans="1:149">
      <c r="A152" s="81" t="s">
        <v>483</v>
      </c>
      <c r="C152" s="81" t="s">
        <v>545</v>
      </c>
      <c r="E152" s="81" t="s">
        <v>129</v>
      </c>
      <c r="F152" s="81" t="s">
        <v>130</v>
      </c>
      <c r="DA152" s="81">
        <v>48.917000000000002</v>
      </c>
      <c r="DB152" s="81">
        <v>1.91</v>
      </c>
      <c r="DC152" s="81">
        <v>14.893000000000001</v>
      </c>
      <c r="DD152" s="81">
        <v>6.1029999999999998</v>
      </c>
      <c r="DE152" s="81">
        <v>0.23300000000000001</v>
      </c>
      <c r="DF152" s="81">
        <v>7.8520000000000003</v>
      </c>
      <c r="DG152" s="81">
        <v>9.9339999999999993</v>
      </c>
      <c r="DH152" s="81">
        <v>2.76</v>
      </c>
      <c r="DI152" s="81">
        <v>0.51200000000000001</v>
      </c>
      <c r="DJ152" s="81">
        <v>0.17399999999999999</v>
      </c>
      <c r="DK152" s="81">
        <v>1.514</v>
      </c>
      <c r="DL152" s="81">
        <v>4.8899999999999997</v>
      </c>
      <c r="DM152" s="102"/>
      <c r="DN152" s="102"/>
      <c r="DO152" s="102"/>
      <c r="DP152" s="102"/>
      <c r="DQ152" s="102"/>
      <c r="DR152" s="102"/>
      <c r="DS152" s="102"/>
      <c r="DT152" s="102"/>
      <c r="DU152" s="102"/>
      <c r="DV152" s="102"/>
      <c r="DW152" s="102"/>
      <c r="DX152" s="102"/>
      <c r="DY152" s="102"/>
      <c r="DZ152" s="102"/>
      <c r="EA152" s="102"/>
      <c r="EB152" s="102"/>
      <c r="EC152" s="102"/>
      <c r="ED152" s="102"/>
      <c r="EE152" s="102"/>
      <c r="EF152" s="102"/>
      <c r="EG152" s="102"/>
      <c r="EH152" s="102"/>
      <c r="EI152" s="102"/>
      <c r="EJ152" s="102"/>
      <c r="EK152" s="102"/>
      <c r="EL152" s="102"/>
      <c r="EM152" s="102"/>
      <c r="EN152" s="102"/>
      <c r="EO152" s="102"/>
      <c r="EP152" s="102"/>
      <c r="EQ152" s="102"/>
      <c r="ER152" s="102"/>
      <c r="ES152" s="102"/>
    </row>
    <row r="153" spans="1:149">
      <c r="A153" s="81" t="s">
        <v>484</v>
      </c>
      <c r="C153" s="81" t="s">
        <v>546</v>
      </c>
      <c r="E153" s="81" t="s">
        <v>129</v>
      </c>
      <c r="F153" s="81" t="s">
        <v>130</v>
      </c>
      <c r="DA153" s="81">
        <v>48.347000000000001</v>
      </c>
      <c r="DB153" s="81">
        <v>2.0470000000000002</v>
      </c>
      <c r="DC153" s="81">
        <v>14.052</v>
      </c>
      <c r="DD153" s="81">
        <v>8.2409999999999997</v>
      </c>
      <c r="DE153" s="81">
        <v>0.115</v>
      </c>
      <c r="DF153" s="81">
        <v>7.7629999999999999</v>
      </c>
      <c r="DG153" s="81">
        <v>9.3879999999999999</v>
      </c>
      <c r="DH153" s="81">
        <v>2.69</v>
      </c>
      <c r="DI153" s="81">
        <v>0.222</v>
      </c>
      <c r="DJ153" s="81">
        <v>0.221</v>
      </c>
      <c r="DK153" s="81">
        <v>1.831</v>
      </c>
      <c r="DL153" s="81">
        <v>4.5</v>
      </c>
      <c r="DM153" s="102"/>
      <c r="DN153" s="102"/>
      <c r="DO153" s="102"/>
      <c r="DP153" s="102"/>
      <c r="DQ153" s="102"/>
      <c r="DR153" s="102"/>
      <c r="DS153" s="102"/>
      <c r="DT153" s="102"/>
      <c r="DU153" s="102"/>
      <c r="DV153" s="102"/>
      <c r="DW153" s="102"/>
      <c r="DX153" s="102"/>
      <c r="DY153" s="102"/>
      <c r="DZ153" s="102"/>
      <c r="EA153" s="102"/>
      <c r="EB153" s="102"/>
      <c r="EC153" s="102"/>
      <c r="ED153" s="102"/>
      <c r="EE153" s="102"/>
      <c r="EF153" s="102"/>
      <c r="EG153" s="102"/>
      <c r="EH153" s="102"/>
      <c r="EI153" s="102"/>
      <c r="EJ153" s="102"/>
      <c r="EK153" s="102"/>
      <c r="EL153" s="102"/>
      <c r="EM153" s="102"/>
      <c r="EN153" s="102"/>
      <c r="EO153" s="102"/>
      <c r="EP153" s="102"/>
      <c r="EQ153" s="102"/>
      <c r="ER153" s="102"/>
      <c r="ES153" s="102"/>
    </row>
    <row r="154" spans="1:149">
      <c r="A154" s="81" t="s">
        <v>485</v>
      </c>
      <c r="C154" s="81" t="s">
        <v>547</v>
      </c>
      <c r="E154" s="81" t="s">
        <v>129</v>
      </c>
      <c r="F154" s="81" t="s">
        <v>130</v>
      </c>
      <c r="DA154" s="81">
        <v>48.973999999999997</v>
      </c>
      <c r="DB154" s="81">
        <v>1.8979999999999999</v>
      </c>
      <c r="DC154" s="81">
        <v>14.314</v>
      </c>
      <c r="DD154" s="81">
        <v>5.84</v>
      </c>
      <c r="DE154" s="81">
        <v>0.191</v>
      </c>
      <c r="DF154" s="81">
        <v>7.7110000000000003</v>
      </c>
      <c r="DG154" s="81">
        <v>10.632999999999999</v>
      </c>
      <c r="DH154" s="81">
        <v>2.58</v>
      </c>
      <c r="DI154" s="81">
        <v>0.157</v>
      </c>
      <c r="DJ154" s="81">
        <v>0.187</v>
      </c>
      <c r="DK154" s="81">
        <v>1.4039999999999999</v>
      </c>
      <c r="DL154" s="81">
        <v>5.7</v>
      </c>
      <c r="DM154" s="102"/>
      <c r="DN154" s="102"/>
      <c r="DO154" s="102"/>
      <c r="DP154" s="102"/>
      <c r="DQ154" s="102"/>
      <c r="DR154" s="102"/>
      <c r="DS154" s="102"/>
      <c r="DT154" s="102"/>
      <c r="DU154" s="102"/>
      <c r="DV154" s="102"/>
      <c r="DW154" s="102"/>
      <c r="DX154" s="102"/>
      <c r="DY154" s="102"/>
      <c r="DZ154" s="102"/>
      <c r="EA154" s="102"/>
      <c r="EB154" s="102"/>
      <c r="EC154" s="102"/>
      <c r="ED154" s="102"/>
      <c r="EE154" s="102"/>
      <c r="EF154" s="102"/>
      <c r="EG154" s="102"/>
      <c r="EH154" s="102"/>
      <c r="EI154" s="102"/>
      <c r="EJ154" s="102"/>
      <c r="EK154" s="102"/>
      <c r="EL154" s="102"/>
      <c r="EM154" s="102"/>
      <c r="EN154" s="102"/>
      <c r="EO154" s="102"/>
      <c r="EP154" s="102"/>
      <c r="EQ154" s="102"/>
      <c r="ER154" s="102"/>
      <c r="ES154" s="102"/>
    </row>
    <row r="155" spans="1:149">
      <c r="A155" s="81" t="s">
        <v>486</v>
      </c>
      <c r="C155" s="81" t="s">
        <v>548</v>
      </c>
      <c r="E155" s="81" t="s">
        <v>129</v>
      </c>
      <c r="F155" s="81" t="s">
        <v>130</v>
      </c>
      <c r="DA155" s="81">
        <v>48.984000000000002</v>
      </c>
      <c r="DB155" s="81">
        <v>1.64</v>
      </c>
      <c r="DC155" s="81">
        <v>15.41</v>
      </c>
      <c r="DD155" s="81">
        <v>6.7009999999999996</v>
      </c>
      <c r="DE155" s="81">
        <v>0.154</v>
      </c>
      <c r="DF155" s="81">
        <v>6.9829999999999997</v>
      </c>
      <c r="DG155" s="81">
        <v>11.273999999999999</v>
      </c>
      <c r="DH155" s="81">
        <v>2.36</v>
      </c>
      <c r="DI155" s="81">
        <v>9.4E-2</v>
      </c>
      <c r="DJ155" s="81">
        <v>0.154</v>
      </c>
      <c r="DK155" s="81">
        <v>1.268</v>
      </c>
      <c r="DL155" s="81">
        <v>4.92</v>
      </c>
      <c r="DM155" s="102"/>
      <c r="DN155" s="102"/>
      <c r="DO155" s="102"/>
      <c r="DP155" s="102"/>
      <c r="DQ155" s="102"/>
      <c r="DR155" s="102"/>
      <c r="DS155" s="102"/>
      <c r="DT155" s="102"/>
      <c r="DU155" s="102"/>
      <c r="DV155" s="102"/>
      <c r="DW155" s="102"/>
      <c r="DX155" s="102"/>
      <c r="DY155" s="102"/>
      <c r="DZ155" s="102"/>
      <c r="EA155" s="102"/>
      <c r="EB155" s="102"/>
      <c r="EC155" s="102"/>
      <c r="ED155" s="102"/>
      <c r="EE155" s="102"/>
      <c r="EF155" s="102"/>
      <c r="EG155" s="102"/>
      <c r="EH155" s="102"/>
      <c r="EI155" s="102"/>
      <c r="EJ155" s="102"/>
      <c r="EK155" s="102"/>
      <c r="EL155" s="102"/>
      <c r="EM155" s="102"/>
      <c r="EN155" s="102"/>
      <c r="EO155" s="102"/>
      <c r="EP155" s="102"/>
      <c r="EQ155" s="102"/>
      <c r="ER155" s="102"/>
      <c r="ES155" s="102"/>
    </row>
    <row r="156" spans="1:149">
      <c r="A156" s="81" t="s">
        <v>487</v>
      </c>
      <c r="C156" s="81" t="s">
        <v>549</v>
      </c>
      <c r="E156" s="81" t="s">
        <v>129</v>
      </c>
      <c r="F156" s="81" t="s">
        <v>130</v>
      </c>
      <c r="DA156" s="81">
        <v>49.185000000000002</v>
      </c>
      <c r="DB156" s="81">
        <v>2.0529999999999999</v>
      </c>
      <c r="DC156" s="81">
        <v>13.839</v>
      </c>
      <c r="DD156" s="81">
        <v>5.2160000000000002</v>
      </c>
      <c r="DE156" s="81">
        <v>0.19900000000000001</v>
      </c>
      <c r="DF156" s="81">
        <v>7.0659999999999998</v>
      </c>
      <c r="DG156" s="81">
        <v>11.106</v>
      </c>
      <c r="DH156" s="81">
        <v>2.67</v>
      </c>
      <c r="DI156" s="81">
        <v>0.115</v>
      </c>
      <c r="DJ156" s="81">
        <v>0.193</v>
      </c>
      <c r="DK156" s="81">
        <v>1.0720000000000001</v>
      </c>
      <c r="DL156" s="81">
        <v>6.94</v>
      </c>
      <c r="DM156" s="102"/>
      <c r="DN156" s="102"/>
      <c r="DO156" s="102"/>
      <c r="DP156" s="102"/>
      <c r="DQ156" s="102"/>
      <c r="DR156" s="102"/>
      <c r="DS156" s="102"/>
      <c r="DT156" s="102"/>
      <c r="DU156" s="102"/>
      <c r="DV156" s="102"/>
      <c r="DW156" s="102"/>
      <c r="DX156" s="102"/>
      <c r="DY156" s="102"/>
      <c r="DZ156" s="102"/>
      <c r="EA156" s="102"/>
      <c r="EB156" s="102"/>
      <c r="EC156" s="102"/>
      <c r="ED156" s="102"/>
      <c r="EE156" s="102"/>
      <c r="EF156" s="102"/>
      <c r="EG156" s="102"/>
      <c r="EH156" s="102"/>
      <c r="EI156" s="102"/>
      <c r="EJ156" s="102"/>
      <c r="EK156" s="102"/>
      <c r="EL156" s="102"/>
      <c r="EM156" s="102"/>
      <c r="EN156" s="102"/>
      <c r="EO156" s="102"/>
      <c r="EP156" s="102"/>
      <c r="EQ156" s="102"/>
      <c r="ER156" s="102"/>
      <c r="ES156" s="102"/>
    </row>
    <row r="157" spans="1:149">
      <c r="A157" s="81" t="s">
        <v>488</v>
      </c>
      <c r="C157" s="81" t="s">
        <v>550</v>
      </c>
      <c r="E157" s="81" t="s">
        <v>129</v>
      </c>
      <c r="F157" s="81" t="s">
        <v>130</v>
      </c>
      <c r="DA157" s="81">
        <v>49.045000000000002</v>
      </c>
      <c r="DB157" s="81">
        <v>2.29</v>
      </c>
      <c r="DC157" s="81">
        <v>15.058</v>
      </c>
      <c r="DD157" s="81">
        <v>5.6849999999999996</v>
      </c>
      <c r="DE157" s="81">
        <v>0.252</v>
      </c>
      <c r="DF157" s="81">
        <v>7.1950000000000003</v>
      </c>
      <c r="DG157" s="81">
        <v>9.9819999999999993</v>
      </c>
      <c r="DH157" s="81">
        <v>2.98</v>
      </c>
      <c r="DI157" s="81">
        <v>0.188</v>
      </c>
      <c r="DJ157" s="81">
        <v>0.217</v>
      </c>
      <c r="DK157" s="81">
        <v>1.397</v>
      </c>
      <c r="DL157" s="81">
        <v>5.36</v>
      </c>
      <c r="DM157" s="102"/>
      <c r="DN157" s="102"/>
      <c r="DO157" s="102"/>
      <c r="DP157" s="102"/>
      <c r="DQ157" s="102"/>
      <c r="DR157" s="102"/>
      <c r="DS157" s="102"/>
      <c r="DT157" s="102"/>
      <c r="DU157" s="102"/>
      <c r="DV157" s="102"/>
      <c r="DW157" s="102"/>
      <c r="DX157" s="102"/>
      <c r="DY157" s="102"/>
      <c r="DZ157" s="102"/>
      <c r="EA157" s="102"/>
      <c r="EB157" s="102"/>
      <c r="EC157" s="102"/>
      <c r="ED157" s="102"/>
      <c r="EE157" s="102"/>
      <c r="EF157" s="102"/>
      <c r="EG157" s="102"/>
      <c r="EH157" s="102"/>
      <c r="EI157" s="102"/>
      <c r="EJ157" s="102"/>
      <c r="EK157" s="102"/>
      <c r="EL157" s="102"/>
      <c r="EM157" s="102"/>
      <c r="EN157" s="102"/>
      <c r="EO157" s="102"/>
      <c r="EP157" s="102"/>
      <c r="EQ157" s="102"/>
      <c r="ER157" s="102"/>
      <c r="ES157" s="102"/>
    </row>
    <row r="158" spans="1:149">
      <c r="A158" s="81" t="s">
        <v>489</v>
      </c>
      <c r="C158" s="81" t="s">
        <v>551</v>
      </c>
      <c r="E158" s="81" t="s">
        <v>129</v>
      </c>
      <c r="F158" s="81" t="s">
        <v>130</v>
      </c>
      <c r="DA158" s="81">
        <v>48.515000000000001</v>
      </c>
      <c r="DB158" s="81">
        <v>1.5669999999999999</v>
      </c>
      <c r="DC158" s="81">
        <v>15.058</v>
      </c>
      <c r="DD158" s="81">
        <v>4.8339999999999996</v>
      </c>
      <c r="DE158" s="81">
        <v>0.182</v>
      </c>
      <c r="DF158" s="81">
        <v>8.2859999999999996</v>
      </c>
      <c r="DG158" s="81">
        <v>11.281000000000001</v>
      </c>
      <c r="DH158" s="81">
        <v>2.37</v>
      </c>
      <c r="DI158" s="81">
        <v>0.111</v>
      </c>
      <c r="DJ158" s="81">
        <v>0.154</v>
      </c>
      <c r="DK158" s="81">
        <v>1.7190000000000001</v>
      </c>
      <c r="DL158" s="81">
        <v>6.01</v>
      </c>
      <c r="DM158" s="102"/>
      <c r="DN158" s="102"/>
      <c r="DO158" s="102"/>
      <c r="DP158" s="102"/>
      <c r="DQ158" s="102"/>
      <c r="DR158" s="102"/>
      <c r="DS158" s="102"/>
      <c r="DT158" s="102"/>
      <c r="DU158" s="102"/>
      <c r="DV158" s="102"/>
      <c r="DW158" s="102"/>
      <c r="DX158" s="102"/>
      <c r="DY158" s="102"/>
      <c r="DZ158" s="102"/>
      <c r="EA158" s="102"/>
      <c r="EB158" s="102"/>
      <c r="EC158" s="102"/>
      <c r="ED158" s="102"/>
      <c r="EE158" s="102"/>
      <c r="EF158" s="102"/>
      <c r="EG158" s="102"/>
      <c r="EH158" s="102"/>
      <c r="EI158" s="102"/>
      <c r="EJ158" s="102"/>
      <c r="EK158" s="102"/>
      <c r="EL158" s="102"/>
      <c r="EM158" s="102"/>
      <c r="EN158" s="102"/>
      <c r="EO158" s="102"/>
      <c r="EP158" s="102"/>
      <c r="EQ158" s="102"/>
      <c r="ER158" s="102"/>
      <c r="ES158" s="102"/>
    </row>
    <row r="159" spans="1:149">
      <c r="A159" s="81" t="s">
        <v>490</v>
      </c>
      <c r="C159" s="81" t="s">
        <v>552</v>
      </c>
      <c r="E159" s="81" t="s">
        <v>129</v>
      </c>
      <c r="F159" s="81" t="s">
        <v>130</v>
      </c>
      <c r="DA159" s="81">
        <v>48.691000000000003</v>
      </c>
      <c r="DB159" s="81">
        <v>1.8580000000000001</v>
      </c>
      <c r="DC159" s="81">
        <v>15.157999999999999</v>
      </c>
      <c r="DD159" s="81">
        <v>6.2530000000000001</v>
      </c>
      <c r="DE159" s="81">
        <v>0.33600000000000002</v>
      </c>
      <c r="DF159" s="81">
        <v>7.6719999999999997</v>
      </c>
      <c r="DG159" s="81">
        <v>10.228</v>
      </c>
      <c r="DH159" s="81">
        <v>2.94</v>
      </c>
      <c r="DI159" s="81">
        <v>0.23599999999999999</v>
      </c>
      <c r="DJ159" s="81">
        <v>0.183</v>
      </c>
      <c r="DK159" s="81">
        <v>1.39</v>
      </c>
      <c r="DL159" s="81">
        <v>4.49</v>
      </c>
      <c r="DM159" s="102">
        <v>47.986200745928436</v>
      </c>
      <c r="DN159" s="102">
        <v>350.06874074276453</v>
      </c>
      <c r="DO159" s="102">
        <v>168.49442172310782</v>
      </c>
      <c r="DP159" s="102">
        <v>39.116468094938632</v>
      </c>
      <c r="DQ159" s="102">
        <v>73.858166968451613</v>
      </c>
      <c r="DR159" s="102">
        <v>176.2296951740573</v>
      </c>
      <c r="DS159" s="102">
        <v>123.03338749824547</v>
      </c>
      <c r="DT159" s="102">
        <v>1.924123846734463</v>
      </c>
      <c r="DU159" s="102">
        <v>174.22761431983653</v>
      </c>
      <c r="DV159" s="102">
        <v>32.005098282947607</v>
      </c>
      <c r="DW159" s="102">
        <v>111.03059857471085</v>
      </c>
      <c r="DX159" s="102">
        <v>5.8281311287004343</v>
      </c>
      <c r="DY159" s="102">
        <v>0.10665635508241174</v>
      </c>
      <c r="DZ159" s="102">
        <v>32.560783571484102</v>
      </c>
      <c r="EA159" s="102">
        <v>6.1735301051796192</v>
      </c>
      <c r="EB159" s="102">
        <v>16.087642939929086</v>
      </c>
      <c r="EC159" s="102">
        <v>2.4884089431834582</v>
      </c>
      <c r="ED159" s="102">
        <v>12.89623503025855</v>
      </c>
      <c r="EE159" s="102">
        <v>3.992490829613061</v>
      </c>
      <c r="EF159" s="102">
        <v>1.4049210065644353</v>
      </c>
      <c r="EG159" s="102">
        <v>4.49</v>
      </c>
      <c r="EH159" s="102">
        <v>0.86799274018788453</v>
      </c>
      <c r="EI159" s="102">
        <v>5.0783566723864908</v>
      </c>
      <c r="EJ159" s="102">
        <v>1.1046279105026022</v>
      </c>
      <c r="EK159" s="102">
        <v>3.0242648248145199</v>
      </c>
      <c r="EL159" s="102">
        <v>0.42085219923952977</v>
      </c>
      <c r="EM159" s="102">
        <v>2.6693714530328427</v>
      </c>
      <c r="EN159" s="102">
        <v>0.42732493900387453</v>
      </c>
      <c r="EO159" s="102">
        <v>2.838017957794611</v>
      </c>
      <c r="EP159" s="102">
        <v>0.35212195008682134</v>
      </c>
      <c r="EQ159" s="102">
        <v>0.64052278721884248</v>
      </c>
      <c r="ER159" s="102">
        <v>0.52298564027743888</v>
      </c>
      <c r="ES159" s="102">
        <v>0.14358887223359887</v>
      </c>
    </row>
    <row r="160" spans="1:149">
      <c r="A160" s="81" t="s">
        <v>491</v>
      </c>
      <c r="C160" s="81" t="s">
        <v>553</v>
      </c>
      <c r="E160" s="81" t="s">
        <v>129</v>
      </c>
      <c r="F160" s="81" t="s">
        <v>130</v>
      </c>
      <c r="DA160" s="81">
        <v>49.375</v>
      </c>
      <c r="DB160" s="81">
        <v>1.762</v>
      </c>
      <c r="DC160" s="81">
        <v>14.145</v>
      </c>
      <c r="DD160" s="81">
        <v>4.3230000000000004</v>
      </c>
      <c r="DE160" s="81">
        <v>0.221</v>
      </c>
      <c r="DF160" s="81">
        <v>6.9720000000000004</v>
      </c>
      <c r="DG160" s="81">
        <v>11.194000000000001</v>
      </c>
      <c r="DH160" s="81">
        <v>2.63</v>
      </c>
      <c r="DI160" s="81">
        <v>0.123</v>
      </c>
      <c r="DJ160" s="81">
        <v>0.185</v>
      </c>
      <c r="DK160" s="81">
        <v>1.0089999999999999</v>
      </c>
      <c r="DL160" s="81">
        <v>7.63</v>
      </c>
      <c r="DM160" s="102"/>
      <c r="DN160" s="102"/>
      <c r="DO160" s="102"/>
      <c r="DP160" s="102"/>
      <c r="DQ160" s="102"/>
      <c r="DR160" s="102"/>
      <c r="DS160" s="102"/>
      <c r="DT160" s="102"/>
      <c r="DU160" s="102"/>
      <c r="DV160" s="102"/>
      <c r="DW160" s="102"/>
      <c r="DX160" s="102"/>
      <c r="DY160" s="102"/>
      <c r="DZ160" s="102"/>
      <c r="EA160" s="102"/>
      <c r="EB160" s="102"/>
      <c r="EC160" s="102"/>
      <c r="ED160" s="102"/>
      <c r="EE160" s="102"/>
      <c r="EF160" s="102"/>
      <c r="EG160" s="102"/>
      <c r="EH160" s="102"/>
      <c r="EI160" s="102"/>
      <c r="EJ160" s="102"/>
      <c r="EK160" s="102"/>
      <c r="EL160" s="102"/>
      <c r="EM160" s="102"/>
      <c r="EN160" s="102"/>
      <c r="EO160" s="102"/>
      <c r="EP160" s="102"/>
      <c r="EQ160" s="102"/>
      <c r="ER160" s="102"/>
      <c r="ES160" s="102"/>
    </row>
    <row r="161" spans="1:149">
      <c r="A161" s="81" t="s">
        <v>492</v>
      </c>
      <c r="C161" s="81" t="s">
        <v>554</v>
      </c>
      <c r="E161" s="81" t="s">
        <v>129</v>
      </c>
      <c r="F161" s="81" t="s">
        <v>130</v>
      </c>
      <c r="DA161" s="81">
        <v>48.942999999999998</v>
      </c>
      <c r="DB161" s="81">
        <v>1.722</v>
      </c>
      <c r="DC161" s="81">
        <v>17.149999999999999</v>
      </c>
      <c r="DD161" s="81">
        <v>8.6980000000000004</v>
      </c>
      <c r="DE161" s="81">
        <v>8.2000000000000003E-2</v>
      </c>
      <c r="DF161" s="81">
        <v>6.8780000000000001</v>
      </c>
      <c r="DG161" s="81">
        <v>7.5810000000000004</v>
      </c>
      <c r="DH161" s="81">
        <v>3.11</v>
      </c>
      <c r="DI161" s="81">
        <v>1.169</v>
      </c>
      <c r="DJ161" s="81">
        <v>0.159</v>
      </c>
      <c r="DK161" s="81">
        <v>2.2679999999999998</v>
      </c>
      <c r="DL161" s="81">
        <v>1.96</v>
      </c>
      <c r="DM161" s="102">
        <v>43.100404011326191</v>
      </c>
      <c r="DN161" s="102">
        <v>267.13455357760495</v>
      </c>
      <c r="DO161" s="102"/>
      <c r="DP161" s="102">
        <v>33.030814577212887</v>
      </c>
      <c r="DQ161" s="102">
        <v>66.040417380203806</v>
      </c>
      <c r="DR161" s="102">
        <v>67.91935837875441</v>
      </c>
      <c r="DS161" s="102">
        <v>75.608954534944942</v>
      </c>
      <c r="DT161" s="102">
        <v>3.4863886277637643</v>
      </c>
      <c r="DU161" s="102">
        <v>177.80144843874265</v>
      </c>
      <c r="DV161" s="102">
        <v>27.299642453309716</v>
      </c>
      <c r="DW161" s="102">
        <v>88.09119033258709</v>
      </c>
      <c r="DX161" s="102">
        <v>3.6449367483724777</v>
      </c>
      <c r="DY161" s="102">
        <v>8.2383054369719141E-2</v>
      </c>
      <c r="DZ161" s="102">
        <v>42.275966297272547</v>
      </c>
      <c r="EA161" s="102">
        <v>6.3831902630234936</v>
      </c>
      <c r="EB161" s="102">
        <v>15.766441865120251</v>
      </c>
      <c r="EC161" s="102"/>
      <c r="ED161" s="102"/>
      <c r="EE161" s="102"/>
      <c r="EF161" s="102"/>
      <c r="EG161" s="102"/>
      <c r="EH161" s="102"/>
      <c r="EI161" s="102">
        <v>4.4797979546665863</v>
      </c>
      <c r="EJ161" s="102">
        <v>0.94338165461450407</v>
      </c>
      <c r="EK161" s="102"/>
      <c r="EL161" s="102">
        <v>0.36440559739140516</v>
      </c>
      <c r="EM161" s="102"/>
      <c r="EN161" s="102"/>
      <c r="EO161" s="102">
        <v>2.3227493140248758</v>
      </c>
      <c r="EP161" s="102">
        <v>0.23791116033522883</v>
      </c>
      <c r="EQ161" s="102">
        <v>1.1051508719828318</v>
      </c>
      <c r="ER161" s="102">
        <v>0.35007815023102867</v>
      </c>
      <c r="ES161" s="102">
        <v>0.18347844775526059</v>
      </c>
    </row>
    <row r="162" spans="1:149">
      <c r="A162" s="81" t="s">
        <v>493</v>
      </c>
      <c r="C162" s="81" t="s">
        <v>555</v>
      </c>
      <c r="E162" s="81" t="s">
        <v>129</v>
      </c>
      <c r="F162" s="81" t="s">
        <v>130</v>
      </c>
      <c r="DA162" s="81">
        <v>48.86</v>
      </c>
      <c r="DB162" s="81">
        <v>1.754</v>
      </c>
      <c r="DC162" s="81">
        <v>14.9</v>
      </c>
      <c r="DD162" s="81">
        <v>10.862</v>
      </c>
      <c r="DE162" s="81">
        <v>0.08</v>
      </c>
      <c r="DF162" s="81">
        <v>7.5620000000000003</v>
      </c>
      <c r="DG162" s="81">
        <v>6.96</v>
      </c>
      <c r="DH162" s="81">
        <v>2.54</v>
      </c>
      <c r="DI162" s="81">
        <v>1.2010000000000001</v>
      </c>
      <c r="DJ162" s="81">
        <v>0.16300000000000001</v>
      </c>
      <c r="DK162" s="81">
        <v>2.448</v>
      </c>
      <c r="DL162" s="81">
        <v>2.0499999999999998</v>
      </c>
      <c r="DM162" s="102">
        <v>39.189682928172111</v>
      </c>
      <c r="DN162" s="102">
        <v>298.05821763094542</v>
      </c>
      <c r="DO162" s="102"/>
      <c r="DP162" s="102">
        <v>38.216422246415114</v>
      </c>
      <c r="DQ162" s="102">
        <v>88.506683128830787</v>
      </c>
      <c r="DR162" s="102">
        <v>51.643182672193234</v>
      </c>
      <c r="DS162" s="102">
        <v>87.326467127501132</v>
      </c>
      <c r="DT162" s="102">
        <v>7.6362036934738802</v>
      </c>
      <c r="DU162" s="102">
        <v>185.7000711206679</v>
      </c>
      <c r="DV162" s="102">
        <v>39.364699312357068</v>
      </c>
      <c r="DW162" s="102">
        <v>101.55391510095967</v>
      </c>
      <c r="DX162" s="102">
        <v>5.6937328974824846</v>
      </c>
      <c r="DY162" s="102">
        <v>0.26970890164124683</v>
      </c>
      <c r="DZ162" s="102">
        <v>32.070663465023195</v>
      </c>
      <c r="EA162" s="102">
        <v>7.4160255819452514</v>
      </c>
      <c r="EB162" s="102">
        <v>18.600318025085183</v>
      </c>
      <c r="EC162" s="102"/>
      <c r="ED162" s="102"/>
      <c r="EE162" s="102"/>
      <c r="EF162" s="102"/>
      <c r="EG162" s="102"/>
      <c r="EH162" s="102"/>
      <c r="EI162" s="102">
        <v>5.6422878577949378</v>
      </c>
      <c r="EJ162" s="102">
        <v>1.2136897736083492</v>
      </c>
      <c r="EK162" s="102"/>
      <c r="EL162" s="102">
        <v>0.45892433286509848</v>
      </c>
      <c r="EM162" s="102"/>
      <c r="EN162" s="102"/>
      <c r="EO162" s="102">
        <v>2.5320288432792597</v>
      </c>
      <c r="EP162" s="102">
        <v>0.346049278700926</v>
      </c>
      <c r="EQ162" s="102">
        <v>1.1758383697970183</v>
      </c>
      <c r="ER162" s="102">
        <v>0.44402870780848108</v>
      </c>
      <c r="ES162" s="102">
        <v>0.14275471543531429</v>
      </c>
    </row>
    <row r="163" spans="1:149">
      <c r="A163" s="81" t="s">
        <v>494</v>
      </c>
      <c r="C163" s="81" t="s">
        <v>556</v>
      </c>
      <c r="E163" s="81" t="s">
        <v>129</v>
      </c>
      <c r="F163" s="81" t="s">
        <v>130</v>
      </c>
      <c r="DA163" s="81">
        <v>48.191000000000003</v>
      </c>
      <c r="DB163" s="81">
        <v>1.698</v>
      </c>
      <c r="DC163" s="81">
        <v>14.404999999999999</v>
      </c>
      <c r="DD163" s="81">
        <v>5.1669999999999998</v>
      </c>
      <c r="DE163" s="81">
        <v>0.223</v>
      </c>
      <c r="DF163" s="81">
        <v>7.8570000000000002</v>
      </c>
      <c r="DG163" s="81">
        <v>11.055999999999999</v>
      </c>
      <c r="DH163" s="81">
        <v>2.5299999999999998</v>
      </c>
      <c r="DI163" s="81">
        <v>0.113</v>
      </c>
      <c r="DJ163" s="81">
        <v>0.16600000000000001</v>
      </c>
      <c r="DK163" s="81">
        <v>1.782</v>
      </c>
      <c r="DL163" s="81">
        <v>6.49</v>
      </c>
      <c r="DM163" s="102"/>
      <c r="DN163" s="102"/>
      <c r="DO163" s="102"/>
      <c r="DP163" s="102"/>
      <c r="DQ163" s="102"/>
      <c r="DR163" s="102"/>
      <c r="DS163" s="102"/>
      <c r="DT163" s="102"/>
      <c r="DU163" s="102"/>
      <c r="DV163" s="102"/>
      <c r="DW163" s="102"/>
      <c r="DX163" s="102"/>
      <c r="DY163" s="102"/>
      <c r="DZ163" s="102"/>
      <c r="EA163" s="102"/>
      <c r="EB163" s="102"/>
      <c r="EC163" s="102"/>
      <c r="ED163" s="102"/>
      <c r="EE163" s="102"/>
      <c r="EF163" s="102"/>
      <c r="EG163" s="102"/>
      <c r="EH163" s="102"/>
      <c r="EI163" s="102"/>
      <c r="EJ163" s="102"/>
      <c r="EK163" s="102"/>
      <c r="EL163" s="102"/>
      <c r="EM163" s="102"/>
      <c r="EN163" s="102"/>
      <c r="EO163" s="102"/>
      <c r="EP163" s="102"/>
      <c r="EQ163" s="102"/>
      <c r="ER163" s="102"/>
      <c r="ES163" s="102"/>
    </row>
    <row r="164" spans="1:149">
      <c r="A164" s="81" t="s">
        <v>495</v>
      </c>
      <c r="C164" s="81" t="s">
        <v>557</v>
      </c>
      <c r="E164" s="81" t="s">
        <v>129</v>
      </c>
      <c r="F164" s="81" t="s">
        <v>130</v>
      </c>
      <c r="DA164" s="81">
        <v>47.277000000000001</v>
      </c>
      <c r="DB164" s="81">
        <v>2.4039999999999999</v>
      </c>
      <c r="DC164" s="81">
        <v>15.9</v>
      </c>
      <c r="DD164" s="81">
        <v>9.6479999999999997</v>
      </c>
      <c r="DE164" s="81">
        <v>0.15</v>
      </c>
      <c r="DF164" s="81">
        <v>7.0119999999999996</v>
      </c>
      <c r="DG164" s="81">
        <v>6.1980000000000004</v>
      </c>
      <c r="DH164" s="81">
        <v>2.8</v>
      </c>
      <c r="DI164" s="81">
        <v>1.696</v>
      </c>
      <c r="DJ164" s="81">
        <v>0.26300000000000001</v>
      </c>
      <c r="DK164" s="81">
        <v>2.2370000000000001</v>
      </c>
      <c r="DL164" s="81">
        <v>4.1100000000000003</v>
      </c>
      <c r="DM164" s="102"/>
      <c r="DN164" s="102"/>
      <c r="DO164" s="102"/>
      <c r="DP164" s="102"/>
      <c r="DQ164" s="102"/>
      <c r="DR164" s="102"/>
      <c r="DS164" s="102"/>
      <c r="DT164" s="102"/>
      <c r="DU164" s="102"/>
      <c r="DV164" s="102"/>
      <c r="DW164" s="102"/>
      <c r="DX164" s="102"/>
      <c r="DY164" s="102"/>
      <c r="DZ164" s="102"/>
      <c r="EA164" s="102"/>
      <c r="EB164" s="102"/>
      <c r="EC164" s="102"/>
      <c r="ED164" s="102"/>
      <c r="EE164" s="102"/>
      <c r="EF164" s="102"/>
      <c r="EG164" s="102"/>
      <c r="EH164" s="102"/>
      <c r="EI164" s="102"/>
      <c r="EJ164" s="102"/>
      <c r="EK164" s="102"/>
      <c r="EL164" s="102"/>
      <c r="EM164" s="102"/>
      <c r="EN164" s="102"/>
      <c r="EO164" s="102"/>
      <c r="EP164" s="102"/>
      <c r="EQ164" s="102"/>
      <c r="ER164" s="102"/>
      <c r="ES164" s="102"/>
    </row>
    <row r="165" spans="1:149">
      <c r="A165" s="81" t="s">
        <v>496</v>
      </c>
      <c r="C165" s="81" t="s">
        <v>558</v>
      </c>
      <c r="E165" s="81" t="s">
        <v>129</v>
      </c>
      <c r="F165" s="81" t="s">
        <v>130</v>
      </c>
      <c r="DA165" s="81">
        <v>48.348999999999997</v>
      </c>
      <c r="DB165" s="81">
        <v>2.1480000000000001</v>
      </c>
      <c r="DC165" s="81">
        <v>15.009</v>
      </c>
      <c r="DD165" s="81">
        <v>6.9089999999999998</v>
      </c>
      <c r="DE165" s="81">
        <v>0.28599999999999998</v>
      </c>
      <c r="DF165" s="81">
        <v>7.5750000000000002</v>
      </c>
      <c r="DG165" s="81">
        <v>9.5630000000000006</v>
      </c>
      <c r="DH165" s="81">
        <v>2.96</v>
      </c>
      <c r="DI165" s="81">
        <v>0.35599999999999998</v>
      </c>
      <c r="DJ165" s="81">
        <v>0.22500000000000001</v>
      </c>
      <c r="DK165" s="81">
        <v>1.5229999999999999</v>
      </c>
      <c r="DL165" s="81">
        <v>4.88</v>
      </c>
      <c r="DM165" s="102"/>
      <c r="DN165" s="102"/>
      <c r="DO165" s="102"/>
      <c r="DP165" s="102"/>
      <c r="DQ165" s="102"/>
      <c r="DR165" s="102"/>
      <c r="DS165" s="102"/>
      <c r="DT165" s="102"/>
      <c r="DU165" s="102"/>
      <c r="DV165" s="102"/>
      <c r="DW165" s="102"/>
      <c r="DX165" s="102"/>
      <c r="DY165" s="102"/>
      <c r="DZ165" s="102"/>
      <c r="EA165" s="102"/>
      <c r="EB165" s="102"/>
      <c r="EC165" s="102"/>
      <c r="ED165" s="102"/>
      <c r="EE165" s="102"/>
      <c r="EF165" s="102"/>
      <c r="EG165" s="102"/>
      <c r="EH165" s="102"/>
      <c r="EI165" s="102"/>
      <c r="EJ165" s="102"/>
      <c r="EK165" s="102"/>
      <c r="EL165" s="102"/>
      <c r="EM165" s="102"/>
      <c r="EN165" s="102"/>
      <c r="EO165" s="102"/>
      <c r="EP165" s="102"/>
      <c r="EQ165" s="102"/>
      <c r="ER165" s="102"/>
      <c r="ES165" s="102"/>
    </row>
    <row r="166" spans="1:149">
      <c r="A166" s="81" t="s">
        <v>497</v>
      </c>
      <c r="C166" s="81" t="s">
        <v>559</v>
      </c>
      <c r="E166" s="81" t="s">
        <v>129</v>
      </c>
      <c r="F166" s="81" t="s">
        <v>130</v>
      </c>
      <c r="DA166" s="81">
        <v>47.746000000000002</v>
      </c>
      <c r="DB166" s="81">
        <v>1.661</v>
      </c>
      <c r="DC166" s="81">
        <v>13.195</v>
      </c>
      <c r="DD166" s="81">
        <v>11.885999999999999</v>
      </c>
      <c r="DE166" s="81">
        <v>8.1000000000000003E-2</v>
      </c>
      <c r="DF166" s="81">
        <v>9.6639999999999997</v>
      </c>
      <c r="DG166" s="81">
        <v>6.1550000000000002</v>
      </c>
      <c r="DH166" s="81">
        <v>2.54</v>
      </c>
      <c r="DI166" s="81">
        <v>0.36</v>
      </c>
      <c r="DJ166" s="81">
        <v>0.124</v>
      </c>
      <c r="DK166" s="81">
        <v>3.0289999999999999</v>
      </c>
      <c r="DL166" s="81">
        <v>3.05</v>
      </c>
      <c r="DM166" s="102"/>
      <c r="DN166" s="102"/>
      <c r="DO166" s="102"/>
      <c r="DP166" s="102"/>
      <c r="DQ166" s="102"/>
      <c r="DR166" s="102"/>
      <c r="DS166" s="102"/>
      <c r="DT166" s="102"/>
      <c r="DU166" s="102"/>
      <c r="DV166" s="102"/>
      <c r="DW166" s="102"/>
      <c r="DX166" s="102"/>
      <c r="DY166" s="102"/>
      <c r="DZ166" s="102"/>
      <c r="EA166" s="102"/>
      <c r="EB166" s="102"/>
      <c r="EC166" s="102"/>
      <c r="ED166" s="102"/>
      <c r="EE166" s="102"/>
      <c r="EF166" s="102"/>
      <c r="EG166" s="102"/>
      <c r="EH166" s="102"/>
      <c r="EI166" s="102"/>
      <c r="EJ166" s="102"/>
      <c r="EK166" s="102"/>
      <c r="EL166" s="102"/>
      <c r="EM166" s="102"/>
      <c r="EN166" s="102"/>
      <c r="EO166" s="102"/>
      <c r="EP166" s="102"/>
      <c r="EQ166" s="102"/>
      <c r="ER166" s="102"/>
      <c r="ES166" s="102"/>
    </row>
    <row r="167" spans="1:149">
      <c r="A167" s="81" t="s">
        <v>498</v>
      </c>
      <c r="C167" s="81" t="s">
        <v>560</v>
      </c>
      <c r="E167" s="81" t="s">
        <v>129</v>
      </c>
      <c r="F167" s="81" t="s">
        <v>130</v>
      </c>
      <c r="DA167" s="81">
        <v>48.889000000000003</v>
      </c>
      <c r="DB167" s="81">
        <v>1.698</v>
      </c>
      <c r="DC167" s="81">
        <v>15.279</v>
      </c>
      <c r="DD167" s="81">
        <v>6.2119999999999997</v>
      </c>
      <c r="DE167" s="81">
        <v>0.32900000000000001</v>
      </c>
      <c r="DF167" s="81">
        <v>7.6609999999999996</v>
      </c>
      <c r="DG167" s="81">
        <v>10.462</v>
      </c>
      <c r="DH167" s="81">
        <v>2.5</v>
      </c>
      <c r="DI167" s="81">
        <v>0.35399999999999998</v>
      </c>
      <c r="DJ167" s="81">
        <v>0.16400000000000001</v>
      </c>
      <c r="DK167" s="81">
        <v>1.9710000000000001</v>
      </c>
      <c r="DL167" s="81">
        <v>4.7699999999999996</v>
      </c>
      <c r="DM167" s="102"/>
      <c r="DN167" s="102"/>
      <c r="DO167" s="102"/>
      <c r="DP167" s="102"/>
      <c r="DQ167" s="102"/>
      <c r="DR167" s="102"/>
      <c r="DS167" s="102"/>
      <c r="DT167" s="102"/>
      <c r="DU167" s="102"/>
      <c r="DV167" s="102"/>
      <c r="DW167" s="102"/>
      <c r="DX167" s="102"/>
      <c r="DY167" s="102"/>
      <c r="DZ167" s="102"/>
      <c r="EA167" s="102"/>
      <c r="EB167" s="102"/>
      <c r="EC167" s="102"/>
      <c r="ED167" s="102"/>
      <c r="EE167" s="102"/>
      <c r="EF167" s="102"/>
      <c r="EG167" s="102"/>
      <c r="EH167" s="102"/>
      <c r="EI167" s="102"/>
      <c r="EJ167" s="102"/>
      <c r="EK167" s="102"/>
      <c r="EL167" s="102"/>
      <c r="EM167" s="102"/>
      <c r="EN167" s="102"/>
      <c r="EO167" s="102"/>
      <c r="EP167" s="102"/>
      <c r="EQ167" s="102"/>
      <c r="ER167" s="102"/>
      <c r="ES167" s="102"/>
    </row>
    <row r="168" spans="1:149">
      <c r="A168" s="81" t="s">
        <v>499</v>
      </c>
      <c r="C168" s="81" t="s">
        <v>561</v>
      </c>
      <c r="E168" s="81" t="s">
        <v>129</v>
      </c>
      <c r="F168" s="81" t="s">
        <v>130</v>
      </c>
      <c r="DA168" s="81">
        <v>48.238999999999997</v>
      </c>
      <c r="DB168" s="81">
        <v>1.75</v>
      </c>
      <c r="DC168" s="81">
        <v>14.398</v>
      </c>
      <c r="DD168" s="81">
        <v>6.7789999999999999</v>
      </c>
      <c r="DE168" s="81">
        <v>0.23100000000000001</v>
      </c>
      <c r="DF168" s="81">
        <v>7.343</v>
      </c>
      <c r="DG168" s="81">
        <v>10.88</v>
      </c>
      <c r="DH168" s="81">
        <v>2.67</v>
      </c>
      <c r="DI168" s="81">
        <v>0.27400000000000002</v>
      </c>
      <c r="DJ168" s="81">
        <v>0.19400000000000001</v>
      </c>
      <c r="DK168" s="81">
        <v>1.1040000000000001</v>
      </c>
      <c r="DL168" s="81">
        <v>5.61</v>
      </c>
      <c r="DM168" s="102"/>
      <c r="DN168" s="102"/>
      <c r="DO168" s="102"/>
      <c r="DP168" s="102"/>
      <c r="DQ168" s="102"/>
      <c r="DR168" s="102"/>
      <c r="DS168" s="102"/>
      <c r="DT168" s="102"/>
      <c r="DU168" s="102"/>
      <c r="DV168" s="102"/>
      <c r="DW168" s="102"/>
      <c r="DX168" s="102"/>
      <c r="DY168" s="102"/>
      <c r="DZ168" s="102"/>
      <c r="EA168" s="102"/>
      <c r="EB168" s="102"/>
      <c r="EC168" s="102"/>
      <c r="ED168" s="102"/>
      <c r="EE168" s="102"/>
      <c r="EF168" s="102"/>
      <c r="EG168" s="102"/>
      <c r="EH168" s="102"/>
      <c r="EI168" s="102"/>
      <c r="EJ168" s="102"/>
      <c r="EK168" s="102"/>
      <c r="EL168" s="102"/>
      <c r="EM168" s="102"/>
      <c r="EN168" s="102"/>
      <c r="EO168" s="102"/>
      <c r="EP168" s="102"/>
      <c r="EQ168" s="102"/>
      <c r="ER168" s="102"/>
      <c r="ES168" s="102"/>
    </row>
    <row r="169" spans="1:149">
      <c r="A169" s="81" t="s">
        <v>500</v>
      </c>
      <c r="C169" s="81" t="s">
        <v>562</v>
      </c>
      <c r="E169" s="81" t="s">
        <v>129</v>
      </c>
      <c r="F169" s="81" t="s">
        <v>130</v>
      </c>
      <c r="DA169" s="81">
        <v>48.604999999999997</v>
      </c>
      <c r="DB169" s="81">
        <v>1.833</v>
      </c>
      <c r="DC169" s="81">
        <v>14.971</v>
      </c>
      <c r="DD169" s="81">
        <v>6.032</v>
      </c>
      <c r="DE169" s="81">
        <v>0.307</v>
      </c>
      <c r="DF169" s="81">
        <v>7.2770000000000001</v>
      </c>
      <c r="DG169" s="81">
        <v>11.396000000000001</v>
      </c>
      <c r="DH169" s="81">
        <v>2.58</v>
      </c>
      <c r="DI169" s="81">
        <v>0.20699999999999999</v>
      </c>
      <c r="DJ169" s="81">
        <v>0.17299999999999999</v>
      </c>
      <c r="DK169" s="81">
        <v>1.119</v>
      </c>
      <c r="DL169" s="81">
        <v>5.1100000000000003</v>
      </c>
      <c r="DM169" s="102"/>
      <c r="DN169" s="102"/>
      <c r="DO169" s="102"/>
      <c r="DP169" s="102"/>
      <c r="DQ169" s="102"/>
      <c r="DR169" s="102"/>
      <c r="DS169" s="102"/>
      <c r="DT169" s="102"/>
      <c r="DU169" s="102"/>
      <c r="DV169" s="102"/>
      <c r="DW169" s="102"/>
      <c r="DX169" s="102"/>
      <c r="DY169" s="102"/>
      <c r="DZ169" s="102"/>
      <c r="EA169" s="102"/>
      <c r="EB169" s="102"/>
      <c r="EC169" s="102"/>
      <c r="ED169" s="102"/>
      <c r="EE169" s="102"/>
      <c r="EF169" s="102"/>
      <c r="EG169" s="102"/>
      <c r="EH169" s="102"/>
      <c r="EI169" s="102"/>
      <c r="EJ169" s="102"/>
      <c r="EK169" s="102"/>
      <c r="EL169" s="102"/>
      <c r="EM169" s="102"/>
      <c r="EN169" s="102"/>
      <c r="EO169" s="102"/>
      <c r="EP169" s="102"/>
      <c r="EQ169" s="102"/>
      <c r="ER169" s="102"/>
      <c r="ES169" s="102"/>
    </row>
    <row r="170" spans="1:149">
      <c r="A170" s="81" t="s">
        <v>501</v>
      </c>
      <c r="C170" s="81" t="s">
        <v>563</v>
      </c>
      <c r="E170" s="81" t="s">
        <v>129</v>
      </c>
      <c r="F170" s="81" t="s">
        <v>130</v>
      </c>
      <c r="DA170" s="81">
        <v>48.542000000000002</v>
      </c>
      <c r="DB170" s="81">
        <v>1.839</v>
      </c>
      <c r="DC170" s="81">
        <v>14.31</v>
      </c>
      <c r="DD170" s="81">
        <v>5.008</v>
      </c>
      <c r="DE170" s="81">
        <v>0.193</v>
      </c>
      <c r="DF170" s="81">
        <v>7.2539999999999996</v>
      </c>
      <c r="DG170" s="81">
        <v>11.657</v>
      </c>
      <c r="DH170" s="81">
        <v>2.58</v>
      </c>
      <c r="DI170" s="81">
        <v>0.152</v>
      </c>
      <c r="DJ170" s="81">
        <v>0.187</v>
      </c>
      <c r="DK170" s="81">
        <v>1.52</v>
      </c>
      <c r="DL170" s="81">
        <v>6.65</v>
      </c>
      <c r="DM170" s="102"/>
      <c r="DN170" s="102"/>
      <c r="DO170" s="102"/>
      <c r="DP170" s="102"/>
      <c r="DQ170" s="102"/>
      <c r="DR170" s="102"/>
      <c r="DS170" s="102"/>
      <c r="DT170" s="102"/>
      <c r="DU170" s="102"/>
      <c r="DV170" s="102"/>
      <c r="DW170" s="102"/>
      <c r="DX170" s="102"/>
      <c r="DY170" s="102"/>
      <c r="DZ170" s="102"/>
      <c r="EA170" s="102"/>
      <c r="EB170" s="102"/>
      <c r="EC170" s="102"/>
      <c r="ED170" s="102"/>
      <c r="EE170" s="102"/>
      <c r="EF170" s="102"/>
      <c r="EG170" s="102"/>
      <c r="EH170" s="102"/>
      <c r="EI170" s="102"/>
      <c r="EJ170" s="102"/>
      <c r="EK170" s="102"/>
      <c r="EL170" s="102"/>
      <c r="EM170" s="102"/>
      <c r="EN170" s="102"/>
      <c r="EO170" s="102"/>
      <c r="EP170" s="102"/>
      <c r="EQ170" s="102"/>
      <c r="ER170" s="102"/>
      <c r="ES170" s="102"/>
    </row>
    <row r="171" spans="1:149">
      <c r="A171" s="81" t="s">
        <v>502</v>
      </c>
      <c r="C171" s="81" t="s">
        <v>564</v>
      </c>
      <c r="E171" s="81" t="s">
        <v>129</v>
      </c>
      <c r="F171" s="81" t="s">
        <v>130</v>
      </c>
      <c r="DA171" s="81">
        <v>48.774000000000001</v>
      </c>
      <c r="DB171" s="81">
        <v>1.5680000000000001</v>
      </c>
      <c r="DC171" s="81">
        <v>14.939</v>
      </c>
      <c r="DD171" s="81">
        <v>5.6070000000000002</v>
      </c>
      <c r="DE171" s="81">
        <v>0.23899999999999999</v>
      </c>
      <c r="DF171" s="81">
        <v>7.202</v>
      </c>
      <c r="DG171" s="81">
        <v>11.023999999999999</v>
      </c>
      <c r="DH171" s="81">
        <v>2.4900000000000002</v>
      </c>
      <c r="DI171" s="81">
        <v>0.128</v>
      </c>
      <c r="DJ171" s="81">
        <v>0.155</v>
      </c>
      <c r="DK171" s="81">
        <v>1.3480000000000001</v>
      </c>
      <c r="DL171" s="81">
        <v>6.27</v>
      </c>
      <c r="DM171" s="102"/>
      <c r="DN171" s="102"/>
      <c r="DO171" s="102"/>
      <c r="DP171" s="102"/>
      <c r="DQ171" s="102"/>
      <c r="DR171" s="102"/>
      <c r="DS171" s="102"/>
      <c r="DT171" s="102"/>
      <c r="DU171" s="102"/>
      <c r="DV171" s="102"/>
      <c r="DW171" s="102"/>
      <c r="DX171" s="102"/>
      <c r="DY171" s="102"/>
      <c r="DZ171" s="102"/>
      <c r="EA171" s="102"/>
      <c r="EB171" s="102"/>
      <c r="EC171" s="102"/>
      <c r="ED171" s="102"/>
      <c r="EE171" s="102"/>
      <c r="EF171" s="102"/>
      <c r="EG171" s="102"/>
      <c r="EH171" s="102"/>
      <c r="EI171" s="102"/>
      <c r="EJ171" s="102"/>
      <c r="EK171" s="102"/>
      <c r="EL171" s="102"/>
      <c r="EM171" s="102"/>
      <c r="EN171" s="102"/>
      <c r="EO171" s="102"/>
      <c r="EP171" s="102"/>
      <c r="EQ171" s="102"/>
      <c r="ER171" s="102"/>
      <c r="ES171" s="102"/>
    </row>
    <row r="172" spans="1:149">
      <c r="A172" s="81" t="s">
        <v>503</v>
      </c>
      <c r="C172" s="81" t="s">
        <v>565</v>
      </c>
      <c r="E172" s="81" t="s">
        <v>129</v>
      </c>
      <c r="F172" s="81" t="s">
        <v>574</v>
      </c>
      <c r="DA172" s="81">
        <v>48.328000000000003</v>
      </c>
      <c r="DB172" s="81">
        <v>1.613</v>
      </c>
      <c r="DC172" s="81">
        <v>14.951000000000001</v>
      </c>
      <c r="DD172" s="81">
        <v>6.31</v>
      </c>
      <c r="DE172" s="81">
        <v>0.309</v>
      </c>
      <c r="DF172" s="81">
        <v>7.992</v>
      </c>
      <c r="DG172" s="81">
        <v>10.388999999999999</v>
      </c>
      <c r="DH172" s="81">
        <v>2.5499999999999998</v>
      </c>
      <c r="DI172" s="81">
        <v>0.155</v>
      </c>
      <c r="DJ172" s="81">
        <v>0.17399999999999999</v>
      </c>
      <c r="DK172" s="81">
        <v>1.798</v>
      </c>
      <c r="DL172" s="81">
        <v>5.37</v>
      </c>
      <c r="DM172" s="102"/>
      <c r="DN172" s="102"/>
      <c r="DO172" s="102"/>
      <c r="DP172" s="102"/>
      <c r="DQ172" s="102"/>
      <c r="DR172" s="102"/>
      <c r="DS172" s="102"/>
      <c r="DT172" s="102"/>
      <c r="DU172" s="102"/>
      <c r="DV172" s="102"/>
      <c r="DW172" s="102"/>
      <c r="DX172" s="102"/>
      <c r="DY172" s="102"/>
      <c r="DZ172" s="102"/>
      <c r="EA172" s="102"/>
      <c r="EB172" s="102"/>
      <c r="EC172" s="102"/>
      <c r="ED172" s="102"/>
      <c r="EE172" s="102"/>
      <c r="EF172" s="102"/>
      <c r="EG172" s="102"/>
      <c r="EH172" s="102"/>
      <c r="EI172" s="102"/>
      <c r="EJ172" s="102"/>
      <c r="EK172" s="102"/>
      <c r="EL172" s="102"/>
      <c r="EM172" s="102"/>
      <c r="EN172" s="102"/>
      <c r="EO172" s="102"/>
      <c r="EP172" s="102"/>
      <c r="EQ172" s="102"/>
      <c r="ER172" s="102"/>
      <c r="ES172" s="102"/>
    </row>
    <row r="173" spans="1:149">
      <c r="A173" s="81" t="s">
        <v>504</v>
      </c>
      <c r="C173" s="81" t="s">
        <v>566</v>
      </c>
      <c r="E173" s="81" t="s">
        <v>129</v>
      </c>
      <c r="F173" s="81" t="s">
        <v>130</v>
      </c>
      <c r="DA173" s="81">
        <v>48.197000000000003</v>
      </c>
      <c r="DB173" s="81">
        <v>1.7250000000000001</v>
      </c>
      <c r="DC173" s="81">
        <v>14.925000000000001</v>
      </c>
      <c r="DD173" s="81">
        <v>13.324</v>
      </c>
      <c r="DE173" s="81">
        <v>0.10299999999999999</v>
      </c>
      <c r="DF173" s="81">
        <v>7.0659999999999998</v>
      </c>
      <c r="DG173" s="81">
        <v>5.4089999999999998</v>
      </c>
      <c r="DH173" s="81">
        <v>2.87</v>
      </c>
      <c r="DI173" s="81">
        <v>0.90500000000000003</v>
      </c>
      <c r="DJ173" s="81">
        <v>0.20399999999999999</v>
      </c>
      <c r="DK173" s="81">
        <v>3.3170000000000002</v>
      </c>
      <c r="DL173" s="81">
        <v>1.41</v>
      </c>
      <c r="DM173" s="102"/>
      <c r="DN173" s="102"/>
      <c r="DO173" s="102"/>
      <c r="DP173" s="102"/>
      <c r="DQ173" s="102"/>
      <c r="DR173" s="102"/>
      <c r="DS173" s="102"/>
      <c r="DT173" s="102"/>
      <c r="DU173" s="102"/>
      <c r="DV173" s="102"/>
      <c r="DW173" s="102"/>
      <c r="DX173" s="102"/>
      <c r="DY173" s="102"/>
      <c r="DZ173" s="102"/>
      <c r="EA173" s="102"/>
      <c r="EB173" s="102"/>
      <c r="EC173" s="102"/>
      <c r="ED173" s="102"/>
      <c r="EE173" s="102"/>
      <c r="EF173" s="102"/>
      <c r="EG173" s="102"/>
      <c r="EH173" s="102"/>
      <c r="EI173" s="102"/>
      <c r="EJ173" s="102"/>
      <c r="EK173" s="102"/>
      <c r="EL173" s="102"/>
      <c r="EM173" s="102"/>
      <c r="EN173" s="102"/>
      <c r="EO173" s="102"/>
      <c r="EP173" s="102"/>
      <c r="EQ173" s="102"/>
      <c r="ER173" s="102"/>
      <c r="ES173" s="102"/>
    </row>
    <row r="174" spans="1:149">
      <c r="A174" s="81" t="s">
        <v>505</v>
      </c>
      <c r="C174" s="81" t="s">
        <v>567</v>
      </c>
      <c r="E174" s="81" t="s">
        <v>129</v>
      </c>
      <c r="F174" s="81" t="s">
        <v>130</v>
      </c>
      <c r="DA174" s="81">
        <v>48.75</v>
      </c>
      <c r="DB174" s="81">
        <v>1.5629999999999999</v>
      </c>
      <c r="DC174" s="81">
        <v>15.64</v>
      </c>
      <c r="DD174" s="81">
        <v>7.7759999999999998</v>
      </c>
      <c r="DE174" s="81">
        <v>0.129</v>
      </c>
      <c r="DF174" s="81">
        <v>7.024</v>
      </c>
      <c r="DG174" s="81">
        <v>9.8979999999999997</v>
      </c>
      <c r="DH174" s="81">
        <v>2.69</v>
      </c>
      <c r="DI174" s="81">
        <v>0.48399999999999999</v>
      </c>
      <c r="DJ174" s="81">
        <v>0.159</v>
      </c>
      <c r="DK174" s="81">
        <v>1.542</v>
      </c>
      <c r="DL174" s="81">
        <v>3.88</v>
      </c>
      <c r="DM174" s="102">
        <v>36.95033572566269</v>
      </c>
      <c r="DN174" s="102">
        <v>285.24018490742054</v>
      </c>
      <c r="DO174" s="102">
        <v>253.45935239379568</v>
      </c>
      <c r="DP174" s="102">
        <v>38.111242177044652</v>
      </c>
      <c r="DQ174" s="102">
        <v>81.785449277405448</v>
      </c>
      <c r="DR174" s="102">
        <v>85.157327889870302</v>
      </c>
      <c r="DS174" s="102">
        <v>79.061579389253112</v>
      </c>
      <c r="DT174" s="102">
        <v>10.786764304254946</v>
      </c>
      <c r="DU174" s="102">
        <v>170.87872750397753</v>
      </c>
      <c r="DV174" s="102">
        <v>26.654515641542488</v>
      </c>
      <c r="DW174" s="102">
        <v>87.057718233034279</v>
      </c>
      <c r="DX174" s="102">
        <v>4.6499442091712408</v>
      </c>
      <c r="DY174" s="102">
        <v>0.42972284637815505</v>
      </c>
      <c r="DZ174" s="102">
        <v>55.408759055868281</v>
      </c>
      <c r="EA174" s="102">
        <v>7.491679125387094</v>
      </c>
      <c r="EB174" s="102">
        <v>17.740542803118355</v>
      </c>
      <c r="EC174" s="102">
        <v>2.5363544674178615</v>
      </c>
      <c r="ED174" s="102">
        <v>12.479600075858224</v>
      </c>
      <c r="EE174" s="102">
        <v>3.4461709228866098</v>
      </c>
      <c r="EF174" s="102">
        <v>1.1781409515601891</v>
      </c>
      <c r="EG174" s="102">
        <v>3.82</v>
      </c>
      <c r="EH174" s="102">
        <v>0.71455953590530541</v>
      </c>
      <c r="EI174" s="102">
        <v>4.1951586138347539</v>
      </c>
      <c r="EJ174" s="102">
        <v>0.92690256043828789</v>
      </c>
      <c r="EK174" s="102">
        <v>2.5928588255253495</v>
      </c>
      <c r="EL174" s="102">
        <v>0.37231511043594362</v>
      </c>
      <c r="EM174" s="102">
        <v>2.3691132523924754</v>
      </c>
      <c r="EN174" s="102">
        <v>0.38474118165490062</v>
      </c>
      <c r="EO174" s="102">
        <v>2.1555724706478596</v>
      </c>
      <c r="EP174" s="102">
        <v>0.29030604570007307</v>
      </c>
      <c r="EQ174" s="102">
        <v>1.5819673722149503</v>
      </c>
      <c r="ER174" s="102">
        <v>0.76755431335955338</v>
      </c>
      <c r="ES174" s="102">
        <v>0.22385432436069852</v>
      </c>
    </row>
    <row r="175" spans="1:149">
      <c r="A175" s="81" t="s">
        <v>506</v>
      </c>
      <c r="C175" s="81" t="s">
        <v>568</v>
      </c>
      <c r="E175" s="81" t="s">
        <v>129</v>
      </c>
      <c r="F175" s="81" t="s">
        <v>130</v>
      </c>
      <c r="DA175" s="81">
        <v>48.871000000000002</v>
      </c>
      <c r="DB175" s="81">
        <v>1.718</v>
      </c>
      <c r="DC175" s="81">
        <v>14.36</v>
      </c>
      <c r="DD175" s="81">
        <v>5.6840000000000002</v>
      </c>
      <c r="DE175" s="81">
        <v>0.16200000000000001</v>
      </c>
      <c r="DF175" s="81">
        <v>7.2709999999999999</v>
      </c>
      <c r="DG175" s="81">
        <v>11.632999999999999</v>
      </c>
      <c r="DH175" s="81">
        <v>2.5099999999999998</v>
      </c>
      <c r="DI175" s="81">
        <v>0.13500000000000001</v>
      </c>
      <c r="DJ175" s="81">
        <v>0.161</v>
      </c>
      <c r="DK175" s="81">
        <v>1.212</v>
      </c>
      <c r="DL175" s="81">
        <v>6.13</v>
      </c>
      <c r="DM175" s="102"/>
      <c r="DN175" s="102"/>
      <c r="DO175" s="102"/>
      <c r="DP175" s="102"/>
      <c r="DQ175" s="102"/>
      <c r="DR175" s="102"/>
      <c r="DS175" s="102"/>
      <c r="DT175" s="102"/>
      <c r="DU175" s="102"/>
      <c r="DV175" s="102"/>
      <c r="DW175" s="102"/>
      <c r="DX175" s="102"/>
      <c r="DY175" s="102"/>
      <c r="DZ175" s="102"/>
      <c r="EA175" s="102"/>
      <c r="EB175" s="102"/>
      <c r="EC175" s="102"/>
      <c r="ED175" s="102"/>
      <c r="EE175" s="102"/>
      <c r="EF175" s="102"/>
      <c r="EG175" s="102"/>
      <c r="EH175" s="102"/>
      <c r="EI175" s="102"/>
      <c r="EJ175" s="102"/>
      <c r="EK175" s="102"/>
      <c r="EL175" s="102"/>
      <c r="EM175" s="102"/>
      <c r="EN175" s="102"/>
      <c r="EO175" s="102"/>
      <c r="EP175" s="102"/>
      <c r="EQ175" s="102"/>
      <c r="ER175" s="102"/>
      <c r="ES175" s="102"/>
    </row>
    <row r="176" spans="1:149">
      <c r="A176" s="81" t="s">
        <v>507</v>
      </c>
      <c r="C176" s="81" t="s">
        <v>569</v>
      </c>
      <c r="E176" s="81" t="s">
        <v>129</v>
      </c>
      <c r="F176" s="81" t="s">
        <v>130</v>
      </c>
      <c r="DA176" s="81">
        <v>48.377000000000002</v>
      </c>
      <c r="DB176" s="81">
        <v>1.1850000000000001</v>
      </c>
      <c r="DC176" s="81">
        <v>14.832000000000001</v>
      </c>
      <c r="DD176" s="81">
        <v>4.226</v>
      </c>
      <c r="DE176" s="81">
        <v>0.18099999999999999</v>
      </c>
      <c r="DF176" s="81">
        <v>8.5760000000000005</v>
      </c>
      <c r="DG176" s="81">
        <v>11.839</v>
      </c>
      <c r="DH176" s="81">
        <v>2</v>
      </c>
      <c r="DI176" s="81">
        <v>0.11899999999999999</v>
      </c>
      <c r="DJ176" s="81">
        <v>0.11600000000000001</v>
      </c>
      <c r="DK176" s="81">
        <v>1.907</v>
      </c>
      <c r="DL176" s="81">
        <v>6.44</v>
      </c>
      <c r="DM176" s="102">
        <v>39.745789887914562</v>
      </c>
      <c r="DN176" s="102">
        <v>282.96931736335978</v>
      </c>
      <c r="DO176" s="102">
        <v>305.75580995712835</v>
      </c>
      <c r="DP176" s="102">
        <v>44.279263114057187</v>
      </c>
      <c r="DQ176" s="102">
        <v>96.213338510160796</v>
      </c>
      <c r="DR176" s="102">
        <v>119.30705123389707</v>
      </c>
      <c r="DS176" s="102">
        <v>73.937693912358057</v>
      </c>
      <c r="DT176" s="102">
        <v>0.55574874698208632</v>
      </c>
      <c r="DU176" s="102">
        <v>121.16980094513427</v>
      </c>
      <c r="DV176" s="102">
        <v>22.63918823152656</v>
      </c>
      <c r="DW176" s="102">
        <v>61.158960415599331</v>
      </c>
      <c r="DX176" s="102">
        <v>3.1572959692187719</v>
      </c>
      <c r="DY176" s="102">
        <v>0.14581520737032674</v>
      </c>
      <c r="DZ176" s="102">
        <v>26.109535544329827</v>
      </c>
      <c r="EA176" s="102">
        <v>3.4093029132096184</v>
      </c>
      <c r="EB176" s="102">
        <v>9.034494019820114</v>
      </c>
      <c r="EC176" s="102">
        <v>1.4317009328484402</v>
      </c>
      <c r="ED176" s="102">
        <v>7.7688262401204247</v>
      </c>
      <c r="EE176" s="102">
        <v>2.4362325459103862</v>
      </c>
      <c r="EF176" s="102">
        <v>0.92053807774253826</v>
      </c>
      <c r="EG176" s="102">
        <v>2.97</v>
      </c>
      <c r="EH176" s="102">
        <v>0.56261662320081174</v>
      </c>
      <c r="EI176" s="102">
        <v>3.574579570872956</v>
      </c>
      <c r="EJ176" s="102">
        <v>0.80333450639200088</v>
      </c>
      <c r="EK176" s="102">
        <v>2.269269762152442</v>
      </c>
      <c r="EL176" s="102">
        <v>0.30702127414625408</v>
      </c>
      <c r="EM176" s="102">
        <v>2.1116803488330449</v>
      </c>
      <c r="EN176" s="102">
        <v>0.31741465583698714</v>
      </c>
      <c r="EO176" s="102">
        <v>1.5937314222611896</v>
      </c>
      <c r="EP176" s="102">
        <v>0.18007137033850426</v>
      </c>
      <c r="EQ176" s="102">
        <v>0.5317126752213871</v>
      </c>
      <c r="ER176" s="102">
        <v>0.22680950618361229</v>
      </c>
      <c r="ES176" s="102">
        <v>6.9101165533224373E-2</v>
      </c>
    </row>
    <row r="177" spans="1:149">
      <c r="A177" s="81" t="s">
        <v>508</v>
      </c>
      <c r="C177" s="81" t="s">
        <v>570</v>
      </c>
      <c r="E177" s="81" t="s">
        <v>129</v>
      </c>
      <c r="F177" s="81" t="s">
        <v>130</v>
      </c>
      <c r="DA177" s="81">
        <v>49.542999999999999</v>
      </c>
      <c r="DB177" s="81">
        <v>1.282</v>
      </c>
      <c r="DC177" s="81">
        <v>15.455</v>
      </c>
      <c r="DD177" s="81">
        <v>7.7309999999999999</v>
      </c>
      <c r="DE177" s="81">
        <v>0.13800000000000001</v>
      </c>
      <c r="DF177" s="81">
        <v>7.4889999999999999</v>
      </c>
      <c r="DG177" s="81">
        <v>9.4979999999999993</v>
      </c>
      <c r="DH177" s="81">
        <v>2.3199999999999998</v>
      </c>
      <c r="DI177" s="81">
        <v>1.175</v>
      </c>
      <c r="DJ177" s="81">
        <v>0.16900000000000001</v>
      </c>
      <c r="DK177" s="81">
        <v>1.9690000000000001</v>
      </c>
      <c r="DL177" s="81">
        <v>3.05</v>
      </c>
      <c r="DM177" s="102">
        <v>43.100817396655884</v>
      </c>
      <c r="DN177" s="102">
        <v>303.31372908020126</v>
      </c>
      <c r="DO177" s="102"/>
      <c r="DP177" s="102">
        <v>32.009067294538788</v>
      </c>
      <c r="DQ177" s="102">
        <v>59.849972455536829</v>
      </c>
      <c r="DR177" s="102">
        <v>32.015953445334056</v>
      </c>
      <c r="DS177" s="102">
        <v>93.389597218403722</v>
      </c>
      <c r="DT177" s="102">
        <v>32.546387376945013</v>
      </c>
      <c r="DU177" s="102">
        <v>128.07624129396063</v>
      </c>
      <c r="DV177" s="102">
        <v>34.984059350339059</v>
      </c>
      <c r="DW177" s="102">
        <v>76.983803970157126</v>
      </c>
      <c r="DX177" s="102">
        <v>4.076065391857246</v>
      </c>
      <c r="DY177" s="102">
        <v>0.90763220427709668</v>
      </c>
      <c r="DZ177" s="102">
        <v>20.484180988547308</v>
      </c>
      <c r="EA177" s="102">
        <v>5.2087004836082613</v>
      </c>
      <c r="EB177" s="102">
        <v>13.038186634507092</v>
      </c>
      <c r="EC177" s="102"/>
      <c r="ED177" s="102"/>
      <c r="EE177" s="102"/>
      <c r="EF177" s="102"/>
      <c r="EG177" s="102"/>
      <c r="EH177" s="102"/>
      <c r="EI177" s="102">
        <v>4.8500792452939043</v>
      </c>
      <c r="EJ177" s="102">
        <v>1.1054692602785468</v>
      </c>
      <c r="EK177" s="102"/>
      <c r="EL177" s="102">
        <v>0.44830386839925224</v>
      </c>
      <c r="EM177" s="102"/>
      <c r="EN177" s="102"/>
      <c r="EO177" s="102">
        <v>2.0462565928825347</v>
      </c>
      <c r="EP177" s="102">
        <v>0.23147631693297113</v>
      </c>
      <c r="EQ177" s="102">
        <v>0.96582332317163588</v>
      </c>
      <c r="ER177" s="102">
        <v>0.47552546719481992</v>
      </c>
      <c r="ES177" s="102">
        <v>0.16944845057372029</v>
      </c>
    </row>
    <row r="178" spans="1:149">
      <c r="A178" s="81" t="s">
        <v>509</v>
      </c>
      <c r="C178" s="81" t="s">
        <v>571</v>
      </c>
      <c r="E178" s="81" t="s">
        <v>129</v>
      </c>
      <c r="F178" s="81" t="s">
        <v>130</v>
      </c>
      <c r="DA178" s="81">
        <v>48.094999999999999</v>
      </c>
      <c r="DB178" s="81">
        <v>1.1379999999999999</v>
      </c>
      <c r="DC178" s="81">
        <v>15.14</v>
      </c>
      <c r="DD178" s="81">
        <v>3.2360000000000002</v>
      </c>
      <c r="DE178" s="81">
        <v>0.19400000000000001</v>
      </c>
      <c r="DF178" s="81">
        <v>8.7620000000000005</v>
      </c>
      <c r="DG178" s="81">
        <v>11.802</v>
      </c>
      <c r="DH178" s="81">
        <v>2.12</v>
      </c>
      <c r="DI178" s="81">
        <v>0.193</v>
      </c>
      <c r="DJ178" s="81">
        <v>0.106</v>
      </c>
      <c r="DK178" s="81">
        <v>2.1749999999999998</v>
      </c>
      <c r="DL178" s="81">
        <v>6.33</v>
      </c>
      <c r="DM178" s="102">
        <v>45.312927455219928</v>
      </c>
      <c r="DN178" s="102">
        <v>279.97885149342716</v>
      </c>
      <c r="DO178" s="102">
        <v>372.12720090684365</v>
      </c>
      <c r="DP178" s="102">
        <v>44.112593341573898</v>
      </c>
      <c r="DQ178" s="102">
        <v>132.91363212390561</v>
      </c>
      <c r="DR178" s="102">
        <v>98.607752645332326</v>
      </c>
      <c r="DS178" s="102">
        <v>71.14554991025652</v>
      </c>
      <c r="DT178" s="102">
        <v>3.835923975565779</v>
      </c>
      <c r="DU178" s="102">
        <v>211.29381211641794</v>
      </c>
      <c r="DV178" s="102">
        <v>23.081250117873299</v>
      </c>
      <c r="DW178" s="102">
        <v>64.60344953648827</v>
      </c>
      <c r="DX178" s="102">
        <v>3.0885097462621274</v>
      </c>
      <c r="DY178" s="102">
        <v>0.38462468428382285</v>
      </c>
      <c r="DZ178" s="102">
        <v>278.94995294222809</v>
      </c>
      <c r="EA178" s="102">
        <v>3.4467450441981966</v>
      </c>
      <c r="EB178" s="102">
        <v>9.1639699197055364</v>
      </c>
      <c r="EC178" s="102">
        <v>1.4282058668384268</v>
      </c>
      <c r="ED178" s="102">
        <v>7.5860663570385114</v>
      </c>
      <c r="EE178" s="102">
        <v>2.5614229700566682</v>
      </c>
      <c r="EF178" s="102">
        <v>0.94282129822446092</v>
      </c>
      <c r="EG178" s="102">
        <v>3.08</v>
      </c>
      <c r="EH178" s="102">
        <v>0.57837605139357573</v>
      </c>
      <c r="EI178" s="102">
        <v>3.5429345096965896</v>
      </c>
      <c r="EJ178" s="102">
        <v>0.80394894961490293</v>
      </c>
      <c r="EK178" s="102">
        <v>2.3255145635634307</v>
      </c>
      <c r="EL178" s="102">
        <v>0.33397211128448712</v>
      </c>
      <c r="EM178" s="102">
        <v>2.1480543914280568</v>
      </c>
      <c r="EN178" s="102">
        <v>0.32323924467551962</v>
      </c>
      <c r="EO178" s="102">
        <v>1.6690329169799105</v>
      </c>
      <c r="EP178" s="102">
        <v>0.17508575476103375</v>
      </c>
      <c r="EQ178" s="102">
        <v>0.62985523012829325</v>
      </c>
      <c r="ER178" s="102">
        <v>0.24581873263389928</v>
      </c>
      <c r="ES178" s="102">
        <v>9.196569738055986E-2</v>
      </c>
    </row>
    <row r="179" spans="1:149">
      <c r="A179" s="81" t="s">
        <v>592</v>
      </c>
      <c r="C179" s="81" t="s">
        <v>575</v>
      </c>
      <c r="E179" s="81" t="s">
        <v>588</v>
      </c>
      <c r="F179" s="81" t="s">
        <v>589</v>
      </c>
      <c r="DM179" s="102">
        <v>24.65055619613679</v>
      </c>
      <c r="DN179" s="102">
        <v>113.70273033721719</v>
      </c>
      <c r="DO179" s="102">
        <v>47.643384517489068</v>
      </c>
      <c r="DP179" s="102">
        <v>12.748458351282887</v>
      </c>
      <c r="DQ179" s="102">
        <v>5.5623728238178352</v>
      </c>
      <c r="DR179" s="102">
        <v>8.992410026107061</v>
      </c>
      <c r="DS179" s="102">
        <v>109.58474010700142</v>
      </c>
      <c r="DT179" s="102">
        <v>81.191661389523134</v>
      </c>
      <c r="DU179" s="102">
        <v>149.94993470704637</v>
      </c>
      <c r="DV179" s="102">
        <v>48.919773622022156</v>
      </c>
      <c r="DW179" s="102">
        <v>348.73575160904403</v>
      </c>
      <c r="DX179" s="102">
        <v>20.961989745168989</v>
      </c>
      <c r="DY179" s="102">
        <v>6.4176844649023463</v>
      </c>
      <c r="DZ179" s="102">
        <v>512.50376697610898</v>
      </c>
      <c r="EA179" s="102">
        <v>40.500512672931386</v>
      </c>
      <c r="EB179" s="102">
        <v>89.074867712744506</v>
      </c>
      <c r="EC179" s="102">
        <v>9.5013354056924388</v>
      </c>
      <c r="ED179" s="102">
        <v>37.157019088738053</v>
      </c>
      <c r="EE179" s="102">
        <v>8.1485900810488214</v>
      </c>
      <c r="EF179" s="102">
        <v>1.2573021787042833</v>
      </c>
      <c r="EG179" s="102">
        <v>7.76</v>
      </c>
      <c r="EH179" s="102">
        <v>1.2974818641905399</v>
      </c>
      <c r="EI179" s="102">
        <v>7.6412101068169322</v>
      </c>
      <c r="EJ179" s="102">
        <v>1.6496641710743869</v>
      </c>
      <c r="EK179" s="102">
        <v>4.7700968144291132</v>
      </c>
      <c r="EL179" s="102">
        <v>0.69738983112866937</v>
      </c>
      <c r="EM179" s="102">
        <v>4.5803564758468562</v>
      </c>
      <c r="EN179" s="102">
        <v>0.73605725877295658</v>
      </c>
      <c r="EO179" s="102">
        <v>6.8244174128328616</v>
      </c>
      <c r="EP179" s="102">
        <v>1.3343964230581802</v>
      </c>
      <c r="EQ179" s="102">
        <v>20.149340176024847</v>
      </c>
      <c r="ER179" s="102">
        <v>13.383730625198476</v>
      </c>
      <c r="ES179" s="102">
        <v>2.9732016918206927</v>
      </c>
    </row>
    <row r="180" spans="1:149">
      <c r="A180" s="81" t="s">
        <v>593</v>
      </c>
      <c r="C180" s="81" t="s">
        <v>576</v>
      </c>
      <c r="E180" s="81" t="s">
        <v>588</v>
      </c>
      <c r="F180" s="81" t="s">
        <v>589</v>
      </c>
      <c r="DM180" s="102">
        <v>27.473100075616681</v>
      </c>
      <c r="DN180" s="102">
        <v>113.45148221277208</v>
      </c>
      <c r="DO180" s="102">
        <v>50.030387054118542</v>
      </c>
      <c r="DP180" s="102">
        <v>10.43644073084174</v>
      </c>
      <c r="DQ180" s="102">
        <v>6.5619455429032287</v>
      </c>
      <c r="DR180" s="102">
        <v>8.8872726933361523</v>
      </c>
      <c r="DS180" s="102">
        <v>110.37357340358101</v>
      </c>
      <c r="DT180" s="102">
        <v>80.640984534928819</v>
      </c>
      <c r="DU180" s="102">
        <v>150.3076859609267</v>
      </c>
      <c r="DV180" s="102">
        <v>47.816264752508296</v>
      </c>
      <c r="DW180" s="102">
        <v>346.06764531097741</v>
      </c>
      <c r="DX180" s="102">
        <v>20.962554576456238</v>
      </c>
      <c r="DY180" s="102">
        <v>6.5218155878042019</v>
      </c>
      <c r="DZ180" s="102">
        <v>509.80427985735497</v>
      </c>
      <c r="EA180" s="102">
        <v>41.547751423776333</v>
      </c>
      <c r="EB180" s="102">
        <v>91.698901288609321</v>
      </c>
      <c r="EC180" s="102">
        <v>9.7676001088166853</v>
      </c>
      <c r="ED180" s="102">
        <v>37.935940557216576</v>
      </c>
      <c r="EE180" s="102">
        <v>8.1253200657744866</v>
      </c>
      <c r="EF180" s="102">
        <v>1.2448674320877915</v>
      </c>
      <c r="EG180" s="102">
        <v>7.7</v>
      </c>
      <c r="EH180" s="102">
        <v>1.2989538523439907</v>
      </c>
      <c r="EI180" s="102">
        <v>7.4464214377117841</v>
      </c>
      <c r="EJ180" s="102">
        <v>1.6256639581329575</v>
      </c>
      <c r="EK180" s="102">
        <v>4.5758351290431181</v>
      </c>
      <c r="EL180" s="102">
        <v>0.67084172545642551</v>
      </c>
      <c r="EM180" s="102">
        <v>4.3639536323535202</v>
      </c>
      <c r="EN180" s="102">
        <v>0.70432265948799666</v>
      </c>
      <c r="EO180" s="102">
        <v>6.6358204219540964</v>
      </c>
      <c r="EP180" s="102">
        <v>1.3107488021632852</v>
      </c>
      <c r="EQ180" s="102">
        <v>20.730960704275578</v>
      </c>
      <c r="ER180" s="102">
        <v>13.122494459475723</v>
      </c>
      <c r="ES180" s="102">
        <v>2.9717874869168077</v>
      </c>
    </row>
    <row r="181" spans="1:149">
      <c r="A181" s="81" t="s">
        <v>594</v>
      </c>
      <c r="C181" s="81" t="s">
        <v>577</v>
      </c>
      <c r="E181" s="133" t="s">
        <v>588</v>
      </c>
      <c r="F181" s="81" t="s">
        <v>130</v>
      </c>
      <c r="DA181" s="81">
        <v>63.182000000000002</v>
      </c>
      <c r="DB181" s="81">
        <v>1.351</v>
      </c>
      <c r="DC181" s="81">
        <v>16.634</v>
      </c>
      <c r="DD181" s="81">
        <v>2.1309999999999998</v>
      </c>
      <c r="DE181" s="81">
        <v>7.4999999999999997E-2</v>
      </c>
      <c r="DF181" s="81">
        <v>0.56399999999999995</v>
      </c>
      <c r="DG181" s="81">
        <v>4.8789999999999996</v>
      </c>
      <c r="DH181" s="81">
        <v>2.34</v>
      </c>
      <c r="DI181" s="81">
        <v>1.7230000000000001</v>
      </c>
      <c r="DJ181" s="81">
        <v>0.53100000000000003</v>
      </c>
      <c r="DK181" s="81">
        <v>2.9119999999999999</v>
      </c>
      <c r="DL181" s="81">
        <v>2.8</v>
      </c>
      <c r="DM181" s="102">
        <v>25.398283102447252</v>
      </c>
      <c r="DN181" s="102">
        <v>85.678688249180979</v>
      </c>
      <c r="DO181" s="102">
        <v>45.634128189920951</v>
      </c>
      <c r="DP181" s="102">
        <v>26.68994156314449</v>
      </c>
      <c r="DQ181" s="102">
        <v>20.045819109997051</v>
      </c>
      <c r="DR181" s="102">
        <v>13.033641426457246</v>
      </c>
      <c r="DS181" s="102">
        <v>168.23040581952171</v>
      </c>
      <c r="DT181" s="102">
        <v>21.265314452566948</v>
      </c>
      <c r="DU181" s="102">
        <v>199.93256874178897</v>
      </c>
      <c r="DV181" s="102">
        <v>90.421325477713779</v>
      </c>
      <c r="DW181" s="102">
        <v>375.84879304995803</v>
      </c>
      <c r="DX181" s="102">
        <v>23.769851705226753</v>
      </c>
      <c r="DY181" s="102">
        <v>0.61165284831926581</v>
      </c>
      <c r="DZ181" s="102">
        <v>541.35540711121587</v>
      </c>
      <c r="EA181" s="102">
        <v>53.237898859326378</v>
      </c>
      <c r="EB181" s="102">
        <v>114.56429880348064</v>
      </c>
      <c r="EC181" s="102">
        <v>12.9780160907646</v>
      </c>
      <c r="ED181" s="102">
        <v>52.551899012823164</v>
      </c>
      <c r="EE181" s="102">
        <v>12.086376862401513</v>
      </c>
      <c r="EF181" s="102">
        <v>1.777334104764001</v>
      </c>
      <c r="EG181" s="102">
        <v>12.2</v>
      </c>
      <c r="EH181" s="102">
        <v>2.1542653522014508</v>
      </c>
      <c r="EI181" s="102">
        <v>12.625676304383306</v>
      </c>
      <c r="EJ181" s="102">
        <v>2.8523831244421771</v>
      </c>
      <c r="EK181" s="102">
        <v>8.1468281224737424</v>
      </c>
      <c r="EL181" s="102">
        <v>1.18759276344816</v>
      </c>
      <c r="EM181" s="102">
        <v>7.6644449947310669</v>
      </c>
      <c r="EN181" s="102">
        <v>1.2850073975529146</v>
      </c>
      <c r="EO181" s="102">
        <v>7.4706321373461799</v>
      </c>
      <c r="EP181" s="102">
        <v>1.4993179019518548</v>
      </c>
      <c r="EQ181" s="102">
        <v>23.891164856681783</v>
      </c>
      <c r="ER181" s="102">
        <v>15.36844854929698</v>
      </c>
      <c r="ES181" s="102">
        <v>3.363072125553805</v>
      </c>
    </row>
    <row r="182" spans="1:149">
      <c r="A182" s="81" t="s">
        <v>595</v>
      </c>
      <c r="C182" s="81" t="s">
        <v>578</v>
      </c>
      <c r="E182" s="133" t="s">
        <v>588</v>
      </c>
      <c r="F182" s="81" t="s">
        <v>130</v>
      </c>
      <c r="DA182" s="81">
        <v>65.17</v>
      </c>
      <c r="DB182" s="81">
        <v>1.1759999999999999</v>
      </c>
      <c r="DC182" s="81">
        <v>14.327999999999999</v>
      </c>
      <c r="DE182" s="81">
        <v>9.1999999999999998E-2</v>
      </c>
      <c r="DF182" s="81">
        <v>1.5129999999999999</v>
      </c>
      <c r="DG182" s="81">
        <v>3.4409999999999998</v>
      </c>
      <c r="DH182" s="81">
        <v>2.88</v>
      </c>
      <c r="DI182" s="81">
        <v>0.88500000000000001</v>
      </c>
      <c r="DJ182" s="81">
        <v>0.20899999999999999</v>
      </c>
      <c r="DK182" s="81">
        <v>3.3079999999999998</v>
      </c>
      <c r="DL182" s="81">
        <v>7.71</v>
      </c>
      <c r="DM182" s="102">
        <v>24.176200309518038</v>
      </c>
      <c r="DN182" s="102">
        <v>103.84717816841653</v>
      </c>
      <c r="DO182" s="102">
        <v>43.695594263844463</v>
      </c>
      <c r="DP182" s="102">
        <v>10.112990716230525</v>
      </c>
      <c r="DQ182" s="102">
        <v>9.2056615975663778</v>
      </c>
      <c r="DR182" s="102">
        <v>11.72233901596711</v>
      </c>
      <c r="DS182" s="102">
        <v>102.59270801058494</v>
      </c>
      <c r="DT182" s="102">
        <v>56.649601768623945</v>
      </c>
      <c r="DU182" s="102">
        <v>171.48735211486465</v>
      </c>
      <c r="DV182" s="102">
        <v>49.839172486816686</v>
      </c>
      <c r="DW182" s="102">
        <v>354.49188720755183</v>
      </c>
      <c r="DX182" s="102">
        <v>21.234271199915451</v>
      </c>
      <c r="DY182" s="102">
        <v>5.2655070519588767</v>
      </c>
      <c r="DZ182" s="102">
        <v>494.00851974492542</v>
      </c>
      <c r="EA182" s="102">
        <v>41.734472857967923</v>
      </c>
      <c r="EB182" s="102">
        <v>91.205246701391005</v>
      </c>
      <c r="EC182" s="102">
        <v>9.8046546872157094</v>
      </c>
      <c r="ED182" s="102">
        <v>38.216650463329664</v>
      </c>
      <c r="EE182" s="102">
        <v>8.2699562568754619</v>
      </c>
      <c r="EF182" s="102">
        <v>1.2874780696030659</v>
      </c>
      <c r="EG182" s="102">
        <v>7.82</v>
      </c>
      <c r="EH182" s="102">
        <v>1.3342889183540443</v>
      </c>
      <c r="EI182" s="102">
        <v>7.6281136371766394</v>
      </c>
      <c r="EJ182" s="102">
        <v>1.6586525349396395</v>
      </c>
      <c r="EK182" s="102">
        <v>4.8349396295559481</v>
      </c>
      <c r="EL182" s="102">
        <v>0.70213078425137232</v>
      </c>
      <c r="EM182" s="102">
        <v>4.5456063109343319</v>
      </c>
      <c r="EN182" s="102">
        <v>0.74169446061557265</v>
      </c>
      <c r="EO182" s="102">
        <v>6.8358815297296642</v>
      </c>
      <c r="EP182" s="102">
        <v>1.324077109210495</v>
      </c>
      <c r="EQ182" s="102">
        <v>20.552751977945306</v>
      </c>
      <c r="ER182" s="102">
        <v>13.599232641643693</v>
      </c>
      <c r="ES182" s="102">
        <v>3.1299689551914192</v>
      </c>
    </row>
    <row r="183" spans="1:149">
      <c r="A183" s="81" t="s">
        <v>596</v>
      </c>
      <c r="C183" s="81" t="s">
        <v>579</v>
      </c>
      <c r="E183" s="133" t="s">
        <v>588</v>
      </c>
      <c r="F183" s="81" t="s">
        <v>130</v>
      </c>
      <c r="DA183" s="81">
        <v>62.948</v>
      </c>
      <c r="DB183" s="81">
        <v>1.2110000000000001</v>
      </c>
      <c r="DC183" s="81">
        <v>14.157999999999999</v>
      </c>
      <c r="DD183" s="81">
        <v>0.92900000000000005</v>
      </c>
      <c r="DE183" s="81">
        <v>0.14199999999999999</v>
      </c>
      <c r="DF183" s="81">
        <v>1.7829999999999999</v>
      </c>
      <c r="DG183" s="81">
        <v>3.387</v>
      </c>
      <c r="DH183" s="81">
        <v>3.23</v>
      </c>
      <c r="DI183" s="81">
        <v>1.173</v>
      </c>
      <c r="DJ183" s="81">
        <v>0.217</v>
      </c>
      <c r="DK183" s="81">
        <v>3.5110000000000001</v>
      </c>
      <c r="DL183" s="81">
        <v>6.75</v>
      </c>
      <c r="DM183" s="102"/>
      <c r="DN183" s="102"/>
      <c r="DO183" s="102"/>
      <c r="DP183" s="102"/>
      <c r="DQ183" s="102"/>
      <c r="DR183" s="102"/>
      <c r="DS183" s="102"/>
      <c r="DT183" s="102"/>
      <c r="DU183" s="102"/>
      <c r="DV183" s="102"/>
      <c r="DW183" s="102"/>
      <c r="DX183" s="102"/>
      <c r="DY183" s="102"/>
      <c r="DZ183" s="102"/>
      <c r="EA183" s="102"/>
      <c r="EB183" s="102"/>
      <c r="EC183" s="102"/>
      <c r="ED183" s="102"/>
      <c r="EE183" s="102"/>
      <c r="EF183" s="102"/>
      <c r="EG183" s="102"/>
      <c r="EH183" s="102"/>
      <c r="EI183" s="102"/>
      <c r="EJ183" s="102"/>
      <c r="EK183" s="102"/>
      <c r="EL183" s="102"/>
      <c r="EM183" s="102"/>
      <c r="EN183" s="102"/>
      <c r="EO183" s="102"/>
      <c r="EP183" s="102"/>
      <c r="EQ183" s="102"/>
      <c r="ER183" s="102"/>
      <c r="ES183" s="102"/>
    </row>
    <row r="184" spans="1:149">
      <c r="A184" s="81" t="s">
        <v>597</v>
      </c>
      <c r="C184" s="81" t="s">
        <v>580</v>
      </c>
      <c r="E184" s="133" t="s">
        <v>129</v>
      </c>
      <c r="F184" s="81" t="s">
        <v>130</v>
      </c>
      <c r="DA184" s="81">
        <v>51.280999999999999</v>
      </c>
      <c r="DB184" s="81">
        <v>1.0760000000000001</v>
      </c>
      <c r="DC184" s="81">
        <v>13.176</v>
      </c>
      <c r="DD184" s="81">
        <v>3.43</v>
      </c>
      <c r="DE184" s="81">
        <v>0.223</v>
      </c>
      <c r="DF184" s="81">
        <v>7.1829999999999998</v>
      </c>
      <c r="DG184" s="81">
        <v>10.355</v>
      </c>
      <c r="DH184" s="81">
        <v>2.33</v>
      </c>
      <c r="DI184" s="81">
        <v>0.222</v>
      </c>
      <c r="DJ184" s="81">
        <v>0.106</v>
      </c>
      <c r="DK184" s="81">
        <v>1.177</v>
      </c>
      <c r="DL184" s="81">
        <v>9.32</v>
      </c>
      <c r="DM184" s="102"/>
      <c r="DN184" s="102"/>
      <c r="DO184" s="102"/>
      <c r="DP184" s="102"/>
      <c r="DQ184" s="102"/>
      <c r="DR184" s="102"/>
      <c r="DS184" s="102"/>
      <c r="DT184" s="102"/>
      <c r="DU184" s="102"/>
      <c r="DV184" s="102"/>
      <c r="DW184" s="102"/>
      <c r="DX184" s="102"/>
      <c r="DY184" s="102"/>
      <c r="DZ184" s="102"/>
      <c r="EA184" s="102"/>
      <c r="EB184" s="102"/>
      <c r="EC184" s="102"/>
      <c r="ED184" s="102"/>
      <c r="EE184" s="102"/>
      <c r="EF184" s="102"/>
      <c r="EG184" s="102"/>
      <c r="EH184" s="102"/>
      <c r="EI184" s="102"/>
      <c r="EJ184" s="102"/>
      <c r="EK184" s="102"/>
      <c r="EL184" s="102"/>
      <c r="EM184" s="102"/>
      <c r="EN184" s="102"/>
      <c r="EO184" s="102"/>
      <c r="EP184" s="102"/>
      <c r="EQ184" s="102"/>
      <c r="ER184" s="102"/>
      <c r="ES184" s="102"/>
    </row>
    <row r="185" spans="1:149">
      <c r="A185" s="81" t="s">
        <v>598</v>
      </c>
      <c r="C185" s="81" t="s">
        <v>581</v>
      </c>
      <c r="E185" s="133" t="s">
        <v>590</v>
      </c>
      <c r="F185" s="81" t="s">
        <v>130</v>
      </c>
      <c r="DA185" s="81">
        <v>59.866</v>
      </c>
      <c r="DB185" s="81">
        <v>1.3180000000000001</v>
      </c>
      <c r="DC185" s="81">
        <v>15.631</v>
      </c>
      <c r="DD185" s="81">
        <v>2.8029999999999999</v>
      </c>
      <c r="DE185" s="81">
        <v>0.155</v>
      </c>
      <c r="DF185" s="81">
        <v>2.14</v>
      </c>
      <c r="DG185" s="81">
        <v>3.9329999999999998</v>
      </c>
      <c r="DH185" s="81">
        <v>2.94</v>
      </c>
      <c r="DI185" s="81">
        <v>0.71899999999999997</v>
      </c>
      <c r="DJ185" s="81">
        <v>0.224</v>
      </c>
      <c r="DK185" s="81">
        <v>3.6880000000000002</v>
      </c>
      <c r="DL185" s="81">
        <v>6.18</v>
      </c>
      <c r="DM185" s="102"/>
      <c r="DN185" s="102"/>
      <c r="DO185" s="102"/>
      <c r="DP185" s="102"/>
      <c r="DQ185" s="102"/>
      <c r="DR185" s="102"/>
      <c r="DS185" s="102"/>
      <c r="DT185" s="102"/>
      <c r="DU185" s="102"/>
      <c r="DV185" s="102"/>
      <c r="DW185" s="102"/>
      <c r="DX185" s="102"/>
      <c r="DY185" s="102"/>
      <c r="DZ185" s="102"/>
      <c r="EA185" s="102"/>
      <c r="EB185" s="102"/>
      <c r="EC185" s="102"/>
      <c r="ED185" s="102"/>
      <c r="EE185" s="102"/>
      <c r="EF185" s="102"/>
      <c r="EG185" s="102"/>
      <c r="EH185" s="102"/>
      <c r="EI185" s="102"/>
      <c r="EJ185" s="102"/>
      <c r="EK185" s="102"/>
      <c r="EL185" s="102"/>
      <c r="EM185" s="102"/>
      <c r="EN185" s="102"/>
      <c r="EO185" s="102"/>
      <c r="EP185" s="102"/>
      <c r="EQ185" s="102"/>
      <c r="ER185" s="102"/>
      <c r="ES185" s="102"/>
    </row>
    <row r="186" spans="1:149">
      <c r="A186" s="81" t="s">
        <v>599</v>
      </c>
      <c r="C186" s="81" t="s">
        <v>582</v>
      </c>
      <c r="E186" s="133" t="s">
        <v>129</v>
      </c>
      <c r="F186" s="81" t="s">
        <v>130</v>
      </c>
      <c r="DA186" s="81">
        <v>47.497</v>
      </c>
      <c r="DB186" s="81">
        <v>1.44</v>
      </c>
      <c r="DC186" s="81">
        <v>17.632999999999999</v>
      </c>
      <c r="DD186" s="81">
        <v>5.8070000000000004</v>
      </c>
      <c r="DE186" s="81">
        <v>0.156</v>
      </c>
      <c r="DF186" s="81">
        <v>5.4790000000000001</v>
      </c>
      <c r="DG186" s="81">
        <v>8.2739999999999991</v>
      </c>
      <c r="DH186" s="81">
        <v>3.48</v>
      </c>
      <c r="DI186" s="81">
        <v>0.29599999999999999</v>
      </c>
      <c r="DJ186" s="81">
        <v>0.16300000000000001</v>
      </c>
      <c r="DK186" s="81">
        <v>3.0950000000000002</v>
      </c>
      <c r="DL186" s="81">
        <v>5.35</v>
      </c>
      <c r="DM186" s="102">
        <v>57.003243221731964</v>
      </c>
      <c r="DN186" s="102">
        <v>459.40650031405841</v>
      </c>
      <c r="DO186" s="102">
        <v>173.30096054282157</v>
      </c>
      <c r="DP186" s="102">
        <v>49.093266085086981</v>
      </c>
      <c r="DQ186" s="102">
        <v>67.105664054738099</v>
      </c>
      <c r="DR186" s="102">
        <v>77.182968257162656</v>
      </c>
      <c r="DS186" s="102">
        <v>133.70284319218175</v>
      </c>
      <c r="DT186" s="102">
        <v>4.1818303874648128</v>
      </c>
      <c r="DU186" s="102">
        <v>99.948547843907662</v>
      </c>
      <c r="DV186" s="102">
        <v>47.101298053337111</v>
      </c>
      <c r="DW186" s="102">
        <v>87.174157200562078</v>
      </c>
      <c r="DX186" s="102">
        <v>3.717843234362173</v>
      </c>
      <c r="DY186" s="102">
        <v>0.18280305560490107</v>
      </c>
      <c r="DZ186" s="102">
        <v>101.35281647770444</v>
      </c>
      <c r="EA186" s="102">
        <v>9.5547050504830082</v>
      </c>
      <c r="EB186" s="102">
        <v>16.515592634519184</v>
      </c>
      <c r="EC186" s="102">
        <v>2.0856166883895639</v>
      </c>
      <c r="ED186" s="102">
        <v>10.03354074527026</v>
      </c>
      <c r="EE186" s="102">
        <v>3.5196614569435716</v>
      </c>
      <c r="EF186" s="102">
        <v>1.2469295172977601</v>
      </c>
      <c r="EG186" s="102">
        <v>4.7699999999999996</v>
      </c>
      <c r="EH186" s="102">
        <v>1.0292916312434919</v>
      </c>
      <c r="EI186" s="102">
        <v>6.6632271282433573</v>
      </c>
      <c r="EJ186" s="102">
        <v>1.5961085626378033</v>
      </c>
      <c r="EK186" s="102">
        <v>4.6535775110041184</v>
      </c>
      <c r="EL186" s="102">
        <v>0.69416398093912146</v>
      </c>
      <c r="EM186" s="102">
        <v>4.6274929386598425</v>
      </c>
      <c r="EN186" s="102">
        <v>0.76008561746730852</v>
      </c>
      <c r="EO186" s="102">
        <v>2.4448892382952709</v>
      </c>
      <c r="EP186" s="102">
        <v>0.23058967576297706</v>
      </c>
      <c r="EQ186" s="102">
        <v>2.196396163276781</v>
      </c>
      <c r="ER186" s="102">
        <v>1.6689447918551596</v>
      </c>
      <c r="ES186" s="102">
        <v>0.40785392069559095</v>
      </c>
    </row>
    <row r="187" spans="1:149">
      <c r="A187" s="81" t="s">
        <v>600</v>
      </c>
      <c r="C187" s="81" t="s">
        <v>583</v>
      </c>
      <c r="E187" s="133" t="s">
        <v>591</v>
      </c>
      <c r="F187" s="81" t="s">
        <v>574</v>
      </c>
      <c r="DA187" s="81">
        <v>75.659000000000006</v>
      </c>
      <c r="DB187" s="81">
        <v>0.78700000000000003</v>
      </c>
      <c r="DC187" s="81">
        <v>10.712</v>
      </c>
      <c r="DD187" s="81">
        <v>-0.78</v>
      </c>
      <c r="DE187" s="81">
        <v>1.4999999999999999E-2</v>
      </c>
      <c r="DF187" s="81">
        <v>0.41199999999999998</v>
      </c>
      <c r="DG187" s="81">
        <v>0.39900000000000002</v>
      </c>
      <c r="DH187" s="81">
        <v>0.41</v>
      </c>
      <c r="DI187" s="81">
        <v>7.8719999999999999</v>
      </c>
      <c r="DJ187" s="81">
        <v>0.214</v>
      </c>
      <c r="DK187" s="81">
        <v>1.698</v>
      </c>
      <c r="DL187" s="81">
        <v>1.87</v>
      </c>
      <c r="DM187" s="102"/>
      <c r="DN187" s="102"/>
      <c r="DO187" s="102"/>
      <c r="DP187" s="102"/>
      <c r="DQ187" s="102"/>
      <c r="DR187" s="102"/>
      <c r="DS187" s="102"/>
      <c r="DT187" s="102"/>
      <c r="DU187" s="102"/>
      <c r="DV187" s="102"/>
      <c r="DW187" s="102"/>
      <c r="DX187" s="102"/>
      <c r="DY187" s="102"/>
      <c r="DZ187" s="102"/>
      <c r="EA187" s="102"/>
      <c r="EB187" s="102"/>
      <c r="EC187" s="102"/>
      <c r="ED187" s="102"/>
      <c r="EE187" s="102"/>
      <c r="EF187" s="102"/>
      <c r="EG187" s="102"/>
      <c r="EH187" s="102"/>
      <c r="EI187" s="102"/>
      <c r="EJ187" s="102"/>
      <c r="EK187" s="102"/>
      <c r="EL187" s="102"/>
      <c r="EM187" s="102"/>
      <c r="EN187" s="102"/>
      <c r="EO187" s="102"/>
      <c r="EP187" s="102"/>
      <c r="EQ187" s="102"/>
      <c r="ER187" s="102"/>
      <c r="ES187" s="102"/>
    </row>
    <row r="188" spans="1:149">
      <c r="A188" s="81" t="s">
        <v>601</v>
      </c>
      <c r="C188" s="81" t="s">
        <v>584</v>
      </c>
      <c r="E188" s="81" t="s">
        <v>129</v>
      </c>
      <c r="F188" s="81" t="s">
        <v>130</v>
      </c>
      <c r="DA188" s="81">
        <v>49.615000000000002</v>
      </c>
      <c r="DB188" s="81">
        <v>1.226</v>
      </c>
      <c r="DC188" s="81">
        <v>17.538</v>
      </c>
      <c r="DD188" s="81">
        <v>3.105</v>
      </c>
      <c r="DE188" s="81">
        <v>8.7999999999999995E-2</v>
      </c>
      <c r="DF188" s="81">
        <v>5.0650000000000004</v>
      </c>
      <c r="DG188" s="81">
        <v>6.3730000000000002</v>
      </c>
      <c r="DH188" s="81">
        <v>2.84</v>
      </c>
      <c r="DI188" s="81">
        <v>2.048</v>
      </c>
      <c r="DJ188" s="81">
        <v>0.17499999999999999</v>
      </c>
      <c r="DK188" s="81">
        <v>4.9800000000000004</v>
      </c>
      <c r="DL188" s="81">
        <v>6.2</v>
      </c>
      <c r="DM188" s="102"/>
      <c r="DN188" s="102"/>
      <c r="DO188" s="102"/>
      <c r="DP188" s="102"/>
      <c r="DQ188" s="102"/>
      <c r="DR188" s="102"/>
      <c r="DS188" s="102"/>
      <c r="DT188" s="102"/>
      <c r="DU188" s="102"/>
      <c r="DV188" s="102"/>
      <c r="DW188" s="102"/>
      <c r="DX188" s="102"/>
      <c r="DY188" s="102"/>
      <c r="DZ188" s="102"/>
      <c r="EA188" s="102"/>
      <c r="EB188" s="102"/>
      <c r="EC188" s="102"/>
      <c r="ED188" s="102"/>
      <c r="EE188" s="102"/>
      <c r="EF188" s="102"/>
      <c r="EG188" s="102"/>
      <c r="EH188" s="102"/>
      <c r="EI188" s="102"/>
      <c r="EJ188" s="102"/>
      <c r="EK188" s="102"/>
      <c r="EL188" s="102"/>
      <c r="EM188" s="102"/>
      <c r="EN188" s="102"/>
      <c r="EO188" s="102"/>
      <c r="EP188" s="102"/>
      <c r="EQ188" s="102"/>
      <c r="ER188" s="102"/>
      <c r="ES188" s="102"/>
    </row>
    <row r="189" spans="1:149">
      <c r="A189" s="81" t="s">
        <v>602</v>
      </c>
      <c r="C189" s="81" t="s">
        <v>585</v>
      </c>
      <c r="E189" s="81" t="s">
        <v>129</v>
      </c>
      <c r="F189" s="81" t="s">
        <v>130</v>
      </c>
      <c r="DA189" s="81">
        <v>49.258000000000003</v>
      </c>
      <c r="DB189" s="81">
        <v>1.2170000000000001</v>
      </c>
      <c r="DC189" s="81">
        <v>17.798999999999999</v>
      </c>
      <c r="DD189" s="81">
        <v>3.254</v>
      </c>
      <c r="DE189" s="81">
        <v>0.111</v>
      </c>
      <c r="DF189" s="81">
        <v>5.7210000000000001</v>
      </c>
      <c r="DG189" s="81">
        <v>6.8319999999999999</v>
      </c>
      <c r="DH189" s="81">
        <v>3.09</v>
      </c>
      <c r="DI189" s="81">
        <v>1.419</v>
      </c>
      <c r="DJ189" s="81">
        <v>0.158</v>
      </c>
      <c r="DK189" s="81">
        <v>3.266</v>
      </c>
      <c r="DL189" s="81">
        <v>6.7</v>
      </c>
      <c r="DM189" s="102">
        <v>47.642145493120182</v>
      </c>
      <c r="DN189" s="102">
        <v>222.63933142731116</v>
      </c>
      <c r="DO189" s="102">
        <v>165.45821127311589</v>
      </c>
      <c r="DP189" s="102">
        <v>34.505866080469872</v>
      </c>
      <c r="DQ189" s="102">
        <v>5.541938620734892</v>
      </c>
      <c r="DR189" s="102">
        <v>14.61830480855609</v>
      </c>
      <c r="DS189" s="102">
        <v>112.84871103884096</v>
      </c>
      <c r="DT189" s="102">
        <v>26.819617210988312</v>
      </c>
      <c r="DU189" s="102">
        <v>142.19567369293034</v>
      </c>
      <c r="DV189" s="102">
        <v>44.756358501261353</v>
      </c>
      <c r="DW189" s="102">
        <v>129.17293873911083</v>
      </c>
      <c r="DX189" s="102">
        <v>8.1112611015694007</v>
      </c>
      <c r="DY189" s="102">
        <v>0.30822289122188051</v>
      </c>
      <c r="DZ189" s="102">
        <v>292.36942787844237</v>
      </c>
      <c r="EA189" s="102">
        <v>19.114532428351637</v>
      </c>
      <c r="EB189" s="102">
        <v>40.370823049878695</v>
      </c>
      <c r="EC189" s="102">
        <v>4.5617873202837567</v>
      </c>
      <c r="ED189" s="102">
        <v>18.2957835443558</v>
      </c>
      <c r="EE189" s="102">
        <v>4.6691001190972194</v>
      </c>
      <c r="EF189" s="102">
        <v>1.2550402173741457</v>
      </c>
      <c r="EG189" s="102">
        <v>5.45</v>
      </c>
      <c r="EH189" s="102">
        <v>1.0113837520102698</v>
      </c>
      <c r="EI189" s="102">
        <v>6.2022427613847704</v>
      </c>
      <c r="EJ189" s="102">
        <v>1.4873417403956377</v>
      </c>
      <c r="EK189" s="102">
        <v>4.2509309767074539</v>
      </c>
      <c r="EL189" s="102">
        <v>0.61194574584943773</v>
      </c>
      <c r="EM189" s="102">
        <v>4.1268475812112753</v>
      </c>
      <c r="EN189" s="102">
        <v>0.64451572556917469</v>
      </c>
      <c r="EO189" s="102">
        <v>3.3797618019727502</v>
      </c>
      <c r="EP189" s="102">
        <v>0.48774301355003075</v>
      </c>
      <c r="EQ189" s="102">
        <v>6.6120207303645602</v>
      </c>
      <c r="ER189" s="102">
        <v>4.9338775714363301</v>
      </c>
      <c r="ES189" s="102">
        <v>1.1284809624305316</v>
      </c>
    </row>
    <row r="190" spans="1:149">
      <c r="A190" s="81" t="s">
        <v>603</v>
      </c>
      <c r="C190" s="81" t="s">
        <v>586</v>
      </c>
      <c r="E190" s="81" t="s">
        <v>129</v>
      </c>
      <c r="F190" s="81" t="s">
        <v>130</v>
      </c>
      <c r="DA190" s="81">
        <v>46.798000000000002</v>
      </c>
      <c r="DB190" s="81">
        <v>1.254</v>
      </c>
      <c r="DC190" s="81">
        <v>17.535</v>
      </c>
      <c r="DD190" s="81">
        <v>3.129</v>
      </c>
      <c r="DE190" s="81">
        <v>0.161</v>
      </c>
      <c r="DF190" s="81">
        <v>4.3380000000000001</v>
      </c>
      <c r="DG190" s="81">
        <v>6.3470000000000004</v>
      </c>
      <c r="DH190" s="81">
        <v>3.46</v>
      </c>
      <c r="DI190" s="81">
        <v>1.206</v>
      </c>
      <c r="DJ190" s="81">
        <v>0.16</v>
      </c>
      <c r="DK190" s="81">
        <v>5.5030000000000001</v>
      </c>
      <c r="DL190" s="81">
        <v>9.5500000000000007</v>
      </c>
      <c r="DM190" s="102">
        <v>44.300320028144142</v>
      </c>
      <c r="DN190" s="102">
        <v>217.83139729541526</v>
      </c>
      <c r="DO190" s="102"/>
      <c r="DP190" s="102">
        <v>36.453797525705234</v>
      </c>
      <c r="DQ190" s="102">
        <v>5.6035964169980153</v>
      </c>
      <c r="DR190" s="102">
        <v>15.163230275859668</v>
      </c>
      <c r="DS190" s="102">
        <v>104.9377662739919</v>
      </c>
      <c r="DT190" s="102">
        <v>19.517606716193754</v>
      </c>
      <c r="DU190" s="102">
        <v>129.61895146120338</v>
      </c>
      <c r="DV190" s="102">
        <v>41.309391508382042</v>
      </c>
      <c r="DW190" s="102">
        <v>132.77770680767233</v>
      </c>
      <c r="DX190" s="102">
        <v>8.5910498394865531</v>
      </c>
      <c r="DY190" s="102">
        <v>0.305512370163115</v>
      </c>
      <c r="DZ190" s="102">
        <v>246.36215239478449</v>
      </c>
      <c r="EA190" s="102">
        <v>17.876171094361535</v>
      </c>
      <c r="EB190" s="102">
        <v>38.387829138663115</v>
      </c>
      <c r="EC190" s="102"/>
      <c r="ED190" s="102"/>
      <c r="EE190" s="102"/>
      <c r="EF190" s="102"/>
      <c r="EG190" s="102"/>
      <c r="EH190" s="102"/>
      <c r="EI190" s="102">
        <v>6.293923236103848</v>
      </c>
      <c r="EJ190" s="102">
        <v>1.4313640728460946</v>
      </c>
      <c r="EK190" s="102"/>
      <c r="EL190" s="102">
        <v>0.61666024616452708</v>
      </c>
      <c r="EM190" s="102"/>
      <c r="EN190" s="102"/>
      <c r="EO190" s="102">
        <v>3.5075367573381939</v>
      </c>
      <c r="EP190" s="102">
        <v>0.54889058543458225</v>
      </c>
      <c r="EQ190" s="102">
        <v>7.1822247644878345</v>
      </c>
      <c r="ER190" s="102">
        <v>5.161673163571618</v>
      </c>
      <c r="ES190" s="102">
        <v>1.2100893180551984</v>
      </c>
    </row>
    <row r="191" spans="1:149">
      <c r="A191" s="81" t="s">
        <v>604</v>
      </c>
      <c r="C191" s="81" t="s">
        <v>587</v>
      </c>
      <c r="E191" s="81" t="s">
        <v>129</v>
      </c>
      <c r="F191" s="81" t="s">
        <v>130</v>
      </c>
      <c r="DA191" s="81">
        <v>52.454999999999998</v>
      </c>
      <c r="DB191" s="81">
        <v>1.1839999999999999</v>
      </c>
      <c r="DC191" s="81">
        <v>16.276</v>
      </c>
      <c r="DD191" s="81">
        <v>3.964</v>
      </c>
      <c r="DE191" s="81">
        <v>0.26600000000000001</v>
      </c>
      <c r="DF191" s="81">
        <v>3.38</v>
      </c>
      <c r="DG191" s="81">
        <v>7.734</v>
      </c>
      <c r="DH191" s="81">
        <v>2.78</v>
      </c>
      <c r="DI191" s="81">
        <v>1.07</v>
      </c>
      <c r="DJ191" s="81">
        <v>0.14199999999999999</v>
      </c>
      <c r="DK191" s="81">
        <v>4.6050000000000004</v>
      </c>
      <c r="DL191" s="81">
        <v>6.24</v>
      </c>
      <c r="DM191" s="102"/>
      <c r="DN191" s="102"/>
      <c r="DO191" s="102"/>
      <c r="DP191" s="102"/>
      <c r="DQ191" s="102"/>
      <c r="DR191" s="102"/>
      <c r="DS191" s="102"/>
      <c r="DT191" s="102"/>
      <c r="DU191" s="102"/>
      <c r="DV191" s="102"/>
      <c r="DW191" s="102"/>
      <c r="DX191" s="102"/>
      <c r="DY191" s="102"/>
      <c r="DZ191" s="102"/>
      <c r="EA191" s="102"/>
      <c r="EB191" s="102"/>
      <c r="EC191" s="102"/>
      <c r="ED191" s="102"/>
      <c r="EE191" s="102"/>
      <c r="EF191" s="102"/>
      <c r="EG191" s="102"/>
      <c r="EH191" s="102"/>
      <c r="EI191" s="102"/>
      <c r="EJ191" s="102"/>
      <c r="EK191" s="102"/>
      <c r="EL191" s="102"/>
      <c r="EM191" s="102"/>
      <c r="EN191" s="102"/>
      <c r="EO191" s="102"/>
      <c r="EP191" s="102"/>
      <c r="EQ191" s="102"/>
      <c r="ER191" s="102"/>
      <c r="ES191" s="102"/>
    </row>
    <row r="192" spans="1:149">
      <c r="A192" s="81" t="s">
        <v>605</v>
      </c>
      <c r="C192" s="81" t="s">
        <v>612</v>
      </c>
      <c r="E192" s="81" t="s">
        <v>129</v>
      </c>
      <c r="F192" s="81" t="s">
        <v>130</v>
      </c>
      <c r="DA192" s="102">
        <v>47.972614600000007</v>
      </c>
      <c r="DB192" s="102">
        <v>1.1097569</v>
      </c>
      <c r="DC192" s="102">
        <v>16.080150999999997</v>
      </c>
      <c r="DD192" s="102">
        <v>4.8862432</v>
      </c>
      <c r="DE192" s="102">
        <v>0.13391920000000002</v>
      </c>
      <c r="DF192" s="102">
        <v>8.2744341000000006</v>
      </c>
      <c r="DG192" s="102">
        <v>11.7366393</v>
      </c>
      <c r="DH192" s="102">
        <v>2.3160143999999998</v>
      </c>
      <c r="DI192" s="102">
        <v>0.1417968</v>
      </c>
      <c r="DJ192" s="102">
        <v>8.9607699999999998E-2</v>
      </c>
      <c r="DK192" s="102">
        <v>2.0787089999999999</v>
      </c>
      <c r="DL192" s="102">
        <v>4.93</v>
      </c>
      <c r="DM192" s="102"/>
      <c r="DN192" s="102">
        <v>275.7</v>
      </c>
      <c r="DO192" s="102"/>
      <c r="DP192" s="102"/>
      <c r="DQ192" s="102"/>
      <c r="DR192" s="102">
        <v>45.296199999999999</v>
      </c>
      <c r="DS192" s="102">
        <v>71.883099999999999</v>
      </c>
      <c r="DT192" s="102"/>
      <c r="DU192" s="102"/>
      <c r="DV192" s="102"/>
      <c r="DW192" s="102"/>
      <c r="DX192" s="102"/>
      <c r="DY192" s="102"/>
      <c r="DZ192" s="102">
        <v>29.7</v>
      </c>
      <c r="EA192" s="102"/>
      <c r="EB192" s="102"/>
      <c r="EC192" s="102"/>
      <c r="ED192" s="102"/>
      <c r="EE192" s="102"/>
      <c r="EF192" s="102"/>
      <c r="EG192" s="102"/>
      <c r="EH192" s="102"/>
      <c r="EI192" s="102"/>
      <c r="EJ192" s="102"/>
      <c r="EK192" s="102"/>
      <c r="EL192" s="102"/>
      <c r="EM192" s="102"/>
      <c r="EN192" s="102"/>
      <c r="EO192" s="102"/>
      <c r="EP192" s="102"/>
      <c r="EQ192" s="102"/>
      <c r="ER192" s="102"/>
      <c r="ES192" s="102"/>
    </row>
    <row r="193" spans="1:149">
      <c r="A193" s="81" t="s">
        <v>606</v>
      </c>
      <c r="C193" s="81" t="s">
        <v>613</v>
      </c>
      <c r="E193" s="81" t="s">
        <v>129</v>
      </c>
      <c r="F193" s="81" t="s">
        <v>130</v>
      </c>
      <c r="DA193" s="102">
        <v>48.096919499999991</v>
      </c>
      <c r="DB193" s="102">
        <v>1.1036697</v>
      </c>
      <c r="DC193" s="102">
        <v>15.7837589</v>
      </c>
      <c r="DD193" s="102">
        <v>4.6428864999999986</v>
      </c>
      <c r="DE193" s="102">
        <v>0.13216419999999998</v>
      </c>
      <c r="DF193" s="102">
        <v>8.0028381999999993</v>
      </c>
      <c r="DG193" s="102">
        <v>12.476694999999999</v>
      </c>
      <c r="DH193" s="102">
        <v>2.2625721999999997</v>
      </c>
      <c r="DI193" s="102">
        <v>0.13906829999999998</v>
      </c>
      <c r="DJ193" s="102">
        <v>9.369849999999999E-2</v>
      </c>
      <c r="DK193" s="102">
        <v>1.9387430000000001</v>
      </c>
      <c r="DL193" s="102">
        <v>5.1100000000000003</v>
      </c>
      <c r="DM193" s="102">
        <v>39.982982783969383</v>
      </c>
      <c r="DN193" s="102">
        <v>270.8</v>
      </c>
      <c r="DO193" s="102">
        <v>306.75559309427359</v>
      </c>
      <c r="DP193" s="102">
        <v>43.094608499329084</v>
      </c>
      <c r="DQ193" s="102">
        <v>86.041829334464524</v>
      </c>
      <c r="DR193" s="102">
        <v>84.821799999999996</v>
      </c>
      <c r="DS193" s="102">
        <v>72.986199999999997</v>
      </c>
      <c r="DT193" s="102">
        <v>3.1291247035648952</v>
      </c>
      <c r="DU193" s="102">
        <v>153.63522812708632</v>
      </c>
      <c r="DV193" s="102">
        <v>19.507284835168058</v>
      </c>
      <c r="DW193" s="102">
        <v>56.97091775971014</v>
      </c>
      <c r="DX193" s="102">
        <v>5.9524809573915034</v>
      </c>
      <c r="DY193" s="102"/>
      <c r="DZ193" s="102">
        <v>31.7</v>
      </c>
      <c r="EA193" s="102">
        <v>4.4779943555136406</v>
      </c>
      <c r="EB193" s="102">
        <v>11.622783169396325</v>
      </c>
      <c r="EC193" s="102">
        <v>1.931503740489634</v>
      </c>
      <c r="ED193" s="102">
        <v>9.290739110841292</v>
      </c>
      <c r="EE193" s="102">
        <v>2.7568355624269372</v>
      </c>
      <c r="EF193" s="102">
        <v>1.0806138980132398</v>
      </c>
      <c r="EG193" s="102">
        <v>3.3931285988654842</v>
      </c>
      <c r="EH193" s="102">
        <v>0.59532273284953396</v>
      </c>
      <c r="EI193" s="102">
        <v>3.857365414082063</v>
      </c>
      <c r="EJ193" s="102">
        <v>0.82656980104994104</v>
      </c>
      <c r="EK193" s="102">
        <v>2.3601081722906407</v>
      </c>
      <c r="EL193" s="102">
        <v>0.35732872088291789</v>
      </c>
      <c r="EM193" s="102">
        <v>2.2834692213611629</v>
      </c>
      <c r="EN193" s="102">
        <v>0.33393557792291834</v>
      </c>
      <c r="EO193" s="102">
        <v>1.7269216738073807</v>
      </c>
      <c r="EP193" s="102">
        <v>0.23551138739949756</v>
      </c>
      <c r="EQ193" s="102">
        <v>0.2920191290221969</v>
      </c>
      <c r="ER193" s="102">
        <v>0.37136758745557308</v>
      </c>
      <c r="ES193" s="102">
        <v>9.7553303111415052E-2</v>
      </c>
    </row>
    <row r="194" spans="1:149">
      <c r="A194" s="81" t="s">
        <v>607</v>
      </c>
      <c r="C194" s="81" t="s">
        <v>614</v>
      </c>
      <c r="E194" s="81" t="s">
        <v>129</v>
      </c>
      <c r="F194" s="81" t="s">
        <v>130</v>
      </c>
      <c r="DA194" s="102">
        <v>48.483643499999999</v>
      </c>
      <c r="DB194" s="102">
        <v>1.1392379999999998</v>
      </c>
      <c r="DC194" s="102">
        <v>16.754485500000001</v>
      </c>
      <c r="DD194" s="102">
        <v>4.301833499999999</v>
      </c>
      <c r="DE194" s="102">
        <v>0.16359300000000002</v>
      </c>
      <c r="DF194" s="102">
        <v>8.3540834999999998</v>
      </c>
      <c r="DG194" s="102">
        <v>11.788551</v>
      </c>
      <c r="DH194" s="102">
        <v>2.284389</v>
      </c>
      <c r="DI194" s="102">
        <v>0.10446299999999999</v>
      </c>
      <c r="DJ194" s="102">
        <v>0.1054485</v>
      </c>
      <c r="DK194" s="102">
        <v>2.0009350000000001</v>
      </c>
      <c r="DL194" s="102">
        <v>4.95</v>
      </c>
      <c r="DM194" s="102"/>
      <c r="DN194" s="102">
        <v>298.8</v>
      </c>
      <c r="DO194" s="102"/>
      <c r="DP194" s="102"/>
      <c r="DQ194" s="102"/>
      <c r="DR194" s="102">
        <v>119.24549999999999</v>
      </c>
      <c r="DS194" s="102">
        <v>72.926999999999992</v>
      </c>
      <c r="DT194" s="102"/>
      <c r="DU194" s="102"/>
      <c r="DV194" s="102"/>
      <c r="DW194" s="102"/>
      <c r="DX194" s="102"/>
      <c r="DY194" s="102"/>
      <c r="DZ194" s="102">
        <v>34.9</v>
      </c>
      <c r="EA194" s="102"/>
      <c r="EB194" s="102"/>
      <c r="EC194" s="102"/>
      <c r="ED194" s="102"/>
      <c r="EE194" s="102"/>
      <c r="EF194" s="102"/>
      <c r="EG194" s="102"/>
      <c r="EH194" s="102"/>
      <c r="EI194" s="102"/>
      <c r="EJ194" s="102"/>
      <c r="EK194" s="102"/>
      <c r="EL194" s="102"/>
      <c r="EM194" s="102"/>
      <c r="EN194" s="102"/>
      <c r="EO194" s="102"/>
      <c r="EP194" s="102"/>
      <c r="EQ194" s="102"/>
      <c r="ER194" s="102"/>
      <c r="ES194" s="102"/>
    </row>
    <row r="195" spans="1:149">
      <c r="A195" s="81" t="s">
        <v>608</v>
      </c>
      <c r="C195" s="81" t="s">
        <v>615</v>
      </c>
      <c r="E195" s="81" t="s">
        <v>129</v>
      </c>
      <c r="F195" s="81" t="s">
        <v>130</v>
      </c>
      <c r="DA195" s="102">
        <v>47.258529499999995</v>
      </c>
      <c r="DB195" s="102">
        <v>1.1221291999999998</v>
      </c>
      <c r="DC195" s="102">
        <v>15.043908599999998</v>
      </c>
      <c r="DD195" s="102">
        <v>6.0828937000000005</v>
      </c>
      <c r="DE195" s="102">
        <v>0.19802279999999997</v>
      </c>
      <c r="DF195" s="102">
        <v>9.5254791000000001</v>
      </c>
      <c r="DG195" s="102">
        <v>9.7225311999999988</v>
      </c>
      <c r="DH195" s="102">
        <v>2.4102481</v>
      </c>
      <c r="DI195" s="102">
        <v>0.20675909999999997</v>
      </c>
      <c r="DJ195" s="102">
        <v>7.5714599999999993E-2</v>
      </c>
      <c r="DK195" s="102">
        <v>3.5020820000000001</v>
      </c>
      <c r="DL195" s="102">
        <v>5.14</v>
      </c>
      <c r="DM195" s="102">
        <v>44.338123173358333</v>
      </c>
      <c r="DN195" s="102">
        <v>348.7</v>
      </c>
      <c r="DO195" s="102">
        <v>188.1382327840598</v>
      </c>
      <c r="DP195" s="102">
        <v>49.285440804292122</v>
      </c>
      <c r="DQ195" s="102">
        <v>74.571185591152229</v>
      </c>
      <c r="DR195" s="102">
        <v>345.56919999999997</v>
      </c>
      <c r="DS195" s="102">
        <v>60.183399999999992</v>
      </c>
      <c r="DT195" s="102">
        <v>2.0956854176919153</v>
      </c>
      <c r="DU195" s="102">
        <v>127.35761766281549</v>
      </c>
      <c r="DV195" s="102">
        <v>19.758089828938989</v>
      </c>
      <c r="DW195" s="102">
        <v>57.741315133989815</v>
      </c>
      <c r="DX195" s="102">
        <v>5.9121241765652508</v>
      </c>
      <c r="DY195" s="102"/>
      <c r="DZ195" s="102">
        <v>9.4</v>
      </c>
      <c r="EA195" s="102">
        <v>4.3740135237071733</v>
      </c>
      <c r="EB195" s="102">
        <v>11.716172837221881</v>
      </c>
      <c r="EC195" s="102">
        <v>1.9697022122450321</v>
      </c>
      <c r="ED195" s="102">
        <v>9.4757740765063065</v>
      </c>
      <c r="EE195" s="102">
        <v>2.9303796203816752</v>
      </c>
      <c r="EF195" s="102">
        <v>1.13352300631105</v>
      </c>
      <c r="EG195" s="102">
        <v>3.6101154288903361</v>
      </c>
      <c r="EH195" s="102">
        <v>0.66037057573533442</v>
      </c>
      <c r="EI195" s="102">
        <v>4.3688517505082194</v>
      </c>
      <c r="EJ195" s="102">
        <v>0.94586489422895836</v>
      </c>
      <c r="EK195" s="102">
        <v>2.7595742869591313</v>
      </c>
      <c r="EL195" s="102">
        <v>0.42434620442155646</v>
      </c>
      <c r="EM195" s="102">
        <v>2.7122434731576508</v>
      </c>
      <c r="EN195" s="102">
        <v>0.39775860964695381</v>
      </c>
      <c r="EO195" s="102">
        <v>1.8544882721073765</v>
      </c>
      <c r="EP195" s="102">
        <v>0.25023829552363697</v>
      </c>
      <c r="EQ195" s="102">
        <v>0.17115207393545195</v>
      </c>
      <c r="ER195" s="102">
        <v>0.41273819047774352</v>
      </c>
      <c r="ES195" s="102">
        <v>0.11585835093014786</v>
      </c>
    </row>
    <row r="196" spans="1:149">
      <c r="A196" s="81" t="s">
        <v>609</v>
      </c>
      <c r="C196" s="81" t="s">
        <v>616</v>
      </c>
      <c r="E196" s="81" t="s">
        <v>129</v>
      </c>
      <c r="F196" s="81" t="s">
        <v>130</v>
      </c>
      <c r="DA196" s="102">
        <v>47.669796900000001</v>
      </c>
      <c r="DB196" s="102">
        <v>1.1554361</v>
      </c>
      <c r="DC196" s="102">
        <v>15.466044500000001</v>
      </c>
      <c r="DD196" s="102">
        <v>5.3979436999999999</v>
      </c>
      <c r="DE196" s="102">
        <v>0.24710509999999999</v>
      </c>
      <c r="DF196" s="102">
        <v>8.7131406999999985</v>
      </c>
      <c r="DG196" s="102">
        <v>11.243770400000001</v>
      </c>
      <c r="DH196" s="102">
        <v>2.4720276999999999</v>
      </c>
      <c r="DI196" s="102">
        <v>0.14162149999999998</v>
      </c>
      <c r="DJ196" s="102">
        <v>9.2786500000000008E-2</v>
      </c>
      <c r="DK196" s="102">
        <v>2.8341890000000003</v>
      </c>
      <c r="DL196" s="102">
        <v>4.53</v>
      </c>
      <c r="DM196" s="102"/>
      <c r="DN196" s="102">
        <v>341.9</v>
      </c>
      <c r="DO196" s="102"/>
      <c r="DP196" s="102"/>
      <c r="DQ196" s="102"/>
      <c r="DR196" s="102">
        <v>144.55160000000001</v>
      </c>
      <c r="DS196" s="102">
        <v>77.159300000000002</v>
      </c>
      <c r="DT196" s="102"/>
      <c r="DU196" s="102"/>
      <c r="DV196" s="102"/>
      <c r="DW196" s="102"/>
      <c r="DX196" s="102"/>
      <c r="DY196" s="102"/>
      <c r="DZ196" s="102">
        <v>18.899999999999999</v>
      </c>
      <c r="EA196" s="102"/>
      <c r="EB196" s="102"/>
      <c r="EC196" s="102"/>
      <c r="ED196" s="102"/>
      <c r="EE196" s="102"/>
      <c r="EF196" s="102"/>
      <c r="EG196" s="102"/>
      <c r="EH196" s="102"/>
      <c r="EI196" s="102"/>
      <c r="EJ196" s="102"/>
      <c r="EK196" s="102"/>
      <c r="EL196" s="102"/>
      <c r="EM196" s="102"/>
      <c r="EN196" s="102"/>
      <c r="EO196" s="102"/>
      <c r="EP196" s="102"/>
      <c r="EQ196" s="102"/>
      <c r="ER196" s="102"/>
      <c r="ES196" s="102"/>
    </row>
    <row r="197" spans="1:149">
      <c r="A197" s="81" t="s">
        <v>610</v>
      </c>
      <c r="C197" s="81" t="s">
        <v>617</v>
      </c>
      <c r="E197" s="81" t="s">
        <v>129</v>
      </c>
      <c r="F197" s="81" t="s">
        <v>130</v>
      </c>
      <c r="DA197" s="102">
        <v>49.025590199999996</v>
      </c>
      <c r="DB197" s="102">
        <v>1.1482883999999998</v>
      </c>
      <c r="DC197" s="102">
        <v>14.988029399999999</v>
      </c>
      <c r="DD197" s="102">
        <v>4.8674973999999995</v>
      </c>
      <c r="DE197" s="102">
        <v>0.24210899999999999</v>
      </c>
      <c r="DF197" s="102">
        <v>8.0923697999999984</v>
      </c>
      <c r="DG197" s="102">
        <v>12.249727200000001</v>
      </c>
      <c r="DH197" s="102">
        <v>2.3617979999999998</v>
      </c>
      <c r="DI197" s="102">
        <v>0.13044240000000001</v>
      </c>
      <c r="DJ197" s="102">
        <v>9.7831799999999997E-2</v>
      </c>
      <c r="DK197" s="102">
        <v>1.7932630000000001</v>
      </c>
      <c r="DL197" s="102">
        <v>5.51</v>
      </c>
      <c r="DM197" s="102"/>
      <c r="DN197" s="102">
        <v>315.39999999999998</v>
      </c>
      <c r="DO197" s="102"/>
      <c r="DP197" s="102"/>
      <c r="DQ197" s="102"/>
      <c r="DR197" s="102">
        <v>159.10019999999997</v>
      </c>
      <c r="DS197" s="102">
        <v>78.067799999999991</v>
      </c>
      <c r="DT197" s="102"/>
      <c r="DU197" s="102"/>
      <c r="DV197" s="102"/>
      <c r="DW197" s="102"/>
      <c r="DX197" s="102"/>
      <c r="DY197" s="102"/>
      <c r="DZ197" s="102">
        <v>16.399999999999999</v>
      </c>
      <c r="EA197" s="102"/>
      <c r="EB197" s="102"/>
      <c r="EC197" s="102"/>
      <c r="ED197" s="102"/>
      <c r="EE197" s="102"/>
      <c r="EF197" s="102"/>
      <c r="EG197" s="102"/>
      <c r="EH197" s="102"/>
      <c r="EI197" s="102"/>
      <c r="EJ197" s="102"/>
      <c r="EK197" s="102"/>
      <c r="EL197" s="102"/>
      <c r="EM197" s="102"/>
      <c r="EN197" s="102"/>
      <c r="EO197" s="102"/>
      <c r="EP197" s="102"/>
      <c r="EQ197" s="102"/>
      <c r="ER197" s="102"/>
      <c r="ES197" s="102"/>
    </row>
    <row r="198" spans="1:149">
      <c r="A198" s="81" t="s">
        <v>611</v>
      </c>
      <c r="C198" s="81" t="s">
        <v>618</v>
      </c>
      <c r="E198" s="81" t="s">
        <v>129</v>
      </c>
      <c r="F198" s="81" t="s">
        <v>130</v>
      </c>
      <c r="DA198" s="102">
        <v>48.816952500000006</v>
      </c>
      <c r="DB198" s="102">
        <v>1.0748142000000001</v>
      </c>
      <c r="DC198" s="102">
        <v>14.8692528</v>
      </c>
      <c r="DD198" s="102">
        <v>4.7611438999999995</v>
      </c>
      <c r="DE198" s="102">
        <v>0.24049709999999996</v>
      </c>
      <c r="DF198" s="102">
        <v>7.9740129</v>
      </c>
      <c r="DG198" s="102">
        <v>12.634510199999999</v>
      </c>
      <c r="DH198" s="102">
        <v>2.2387014000000001</v>
      </c>
      <c r="DI198" s="102">
        <v>9.60009E-2</v>
      </c>
      <c r="DJ198" s="102">
        <v>9.4021500000000008E-2</v>
      </c>
      <c r="DK198" s="102">
        <v>1.678879</v>
      </c>
      <c r="DL198" s="102">
        <v>5.83</v>
      </c>
      <c r="DM198" s="102">
        <v>45.28181650053272</v>
      </c>
      <c r="DN198" s="102">
        <v>297.39999999999998</v>
      </c>
      <c r="DO198" s="102">
        <v>194.409931835489</v>
      </c>
      <c r="DP198" s="102">
        <v>45.35027608263271</v>
      </c>
      <c r="DQ198" s="102">
        <v>71.314563294785415</v>
      </c>
      <c r="DR198" s="102">
        <v>152.41379999999998</v>
      </c>
      <c r="DS198" s="102">
        <v>73.237799999999993</v>
      </c>
      <c r="DT198" s="102">
        <v>1.5058189073446966</v>
      </c>
      <c r="DU198" s="102">
        <v>140.98542429434406</v>
      </c>
      <c r="DV198" s="102">
        <v>23.796203190838838</v>
      </c>
      <c r="DW198" s="102">
        <v>56.307839429535015</v>
      </c>
      <c r="DX198" s="102">
        <v>5.9346651861143283</v>
      </c>
      <c r="DY198" s="102"/>
      <c r="DZ198" s="102">
        <v>17.100000000000001</v>
      </c>
      <c r="EA198" s="102">
        <v>4.5525661983599672</v>
      </c>
      <c r="EB198" s="102">
        <v>11.601229585753</v>
      </c>
      <c r="EC198" s="102">
        <v>1.9582186122906964</v>
      </c>
      <c r="ED198" s="102">
        <v>9.4114133127027255</v>
      </c>
      <c r="EE198" s="102">
        <v>2.9025679459538072</v>
      </c>
      <c r="EF198" s="102">
        <v>1.1365720425007584</v>
      </c>
      <c r="EG198" s="102">
        <v>3.6679575954991281</v>
      </c>
      <c r="EH198" s="102">
        <v>0.66400200294286837</v>
      </c>
      <c r="EI198" s="102">
        <v>4.4268611335819523</v>
      </c>
      <c r="EJ198" s="102">
        <v>0.96974714421573771</v>
      </c>
      <c r="EK198" s="102">
        <v>2.8413387747965917</v>
      </c>
      <c r="EL198" s="102">
        <v>0.43034176271220531</v>
      </c>
      <c r="EM198" s="102">
        <v>2.7298239952706442</v>
      </c>
      <c r="EN198" s="102">
        <v>0.40272489680315132</v>
      </c>
      <c r="EO198" s="102">
        <v>1.8110199608052626</v>
      </c>
      <c r="EP198" s="102">
        <v>0.22946102297107906</v>
      </c>
      <c r="EQ198" s="102">
        <v>0.11391681460678711</v>
      </c>
      <c r="ER198" s="102">
        <v>0.39934603544618746</v>
      </c>
      <c r="ES198" s="102">
        <v>9.269976567805549E-2</v>
      </c>
    </row>
    <row r="199" spans="1:149">
      <c r="A199" s="81" t="s">
        <v>620</v>
      </c>
      <c r="C199" s="81" t="s">
        <v>619</v>
      </c>
      <c r="E199" s="81" t="s">
        <v>129</v>
      </c>
      <c r="F199" s="81" t="s">
        <v>130</v>
      </c>
      <c r="DA199" s="102">
        <v>48.350927999999996</v>
      </c>
      <c r="DB199" s="102">
        <v>1.1309985</v>
      </c>
      <c r="DC199" s="102">
        <v>15.0196205</v>
      </c>
      <c r="DD199" s="102">
        <v>5.068349500000001</v>
      </c>
      <c r="DE199" s="102">
        <v>0.25924900000000001</v>
      </c>
      <c r="DF199" s="102">
        <v>7.8130920000000001</v>
      </c>
      <c r="DG199" s="102">
        <v>12.612167000000001</v>
      </c>
      <c r="DH199" s="102">
        <v>2.2164800000000002</v>
      </c>
      <c r="DI199" s="102">
        <v>0.106866</v>
      </c>
      <c r="DJ199" s="102">
        <v>8.9054999999999995E-2</v>
      </c>
      <c r="DK199" s="102">
        <v>1.7578680000000002</v>
      </c>
      <c r="DL199" s="102">
        <v>6.36</v>
      </c>
      <c r="DM199" s="102"/>
      <c r="DN199" s="102">
        <v>312.10000000000002</v>
      </c>
      <c r="DO199" s="102"/>
      <c r="DP199" s="102"/>
      <c r="DQ199" s="102"/>
      <c r="DR199" s="102">
        <v>160.29900000000001</v>
      </c>
      <c r="DS199" s="102">
        <v>74.212500000000006</v>
      </c>
      <c r="DT199" s="102"/>
      <c r="DU199" s="102"/>
      <c r="DV199" s="102"/>
      <c r="DW199" s="102"/>
      <c r="DX199" s="102"/>
      <c r="DY199" s="102"/>
      <c r="DZ199" s="102">
        <v>18</v>
      </c>
      <c r="EA199" s="102"/>
      <c r="EB199" s="102"/>
      <c r="EC199" s="102"/>
      <c r="ED199" s="102"/>
      <c r="EE199" s="102"/>
      <c r="EF199" s="102"/>
      <c r="EG199" s="102"/>
      <c r="EH199" s="102"/>
      <c r="EI199" s="102"/>
      <c r="EJ199" s="102"/>
      <c r="EK199" s="102"/>
      <c r="EL199" s="102"/>
      <c r="EM199" s="102"/>
      <c r="EN199" s="102"/>
      <c r="EO199" s="102"/>
      <c r="EP199" s="102"/>
      <c r="EQ199" s="102"/>
      <c r="ER199" s="102"/>
      <c r="ES199" s="102"/>
    </row>
    <row r="200" spans="1:149">
      <c r="A200" s="81" t="s">
        <v>635</v>
      </c>
      <c r="C200" s="81" t="s">
        <v>623</v>
      </c>
      <c r="E200" s="81" t="s">
        <v>129</v>
      </c>
      <c r="F200" s="81" t="s">
        <v>130</v>
      </c>
      <c r="DA200" s="102">
        <v>49.443273600000005</v>
      </c>
      <c r="DB200" s="102">
        <v>2.5488176</v>
      </c>
      <c r="DC200" s="102">
        <v>14.712768000000001</v>
      </c>
      <c r="DD200" s="102">
        <v>4.5002903999999999</v>
      </c>
      <c r="DE200" s="102">
        <v>0.16347520000000004</v>
      </c>
      <c r="DF200" s="102">
        <v>5.592048000000001</v>
      </c>
      <c r="DG200" s="102">
        <v>11.052518399999999</v>
      </c>
      <c r="DH200" s="102">
        <v>2.9505279999999998</v>
      </c>
      <c r="DI200" s="102">
        <v>0.45155040000000007</v>
      </c>
      <c r="DJ200" s="102">
        <v>0.26913600000000004</v>
      </c>
      <c r="DK200" s="102">
        <v>1.108004</v>
      </c>
      <c r="DL200" s="102">
        <v>7.08</v>
      </c>
      <c r="DM200" s="102"/>
      <c r="DN200" s="102">
        <v>358.5</v>
      </c>
      <c r="DO200" s="102"/>
      <c r="DP200" s="102"/>
      <c r="DQ200" s="102"/>
      <c r="DR200" s="102">
        <v>148.5232</v>
      </c>
      <c r="DS200" s="102">
        <v>114.63200000000001</v>
      </c>
      <c r="DT200" s="102"/>
      <c r="DU200" s="102"/>
      <c r="DV200" s="102"/>
      <c r="DW200" s="102"/>
      <c r="DX200" s="102"/>
      <c r="DY200" s="102"/>
      <c r="DZ200" s="102">
        <v>126</v>
      </c>
      <c r="EA200" s="102"/>
      <c r="EB200" s="102"/>
      <c r="EC200" s="102"/>
      <c r="ED200" s="102"/>
      <c r="EE200" s="102"/>
      <c r="EF200" s="102"/>
      <c r="EG200" s="102"/>
      <c r="EH200" s="102"/>
      <c r="EI200" s="102"/>
      <c r="EJ200" s="102"/>
      <c r="EK200" s="102"/>
      <c r="EL200" s="102"/>
      <c r="EM200" s="102"/>
      <c r="EN200" s="102"/>
      <c r="EO200" s="102"/>
      <c r="EP200" s="102"/>
      <c r="EQ200" s="102"/>
      <c r="ER200" s="102"/>
      <c r="ES200" s="102"/>
    </row>
    <row r="201" spans="1:149">
      <c r="A201" s="81" t="s">
        <v>636</v>
      </c>
      <c r="C201" s="81" t="s">
        <v>624</v>
      </c>
      <c r="E201" s="81" t="s">
        <v>129</v>
      </c>
      <c r="F201" s="81" t="s">
        <v>130</v>
      </c>
      <c r="DA201" s="102">
        <v>48.875638699999996</v>
      </c>
      <c r="DB201" s="102">
        <v>2.4882578</v>
      </c>
      <c r="DC201" s="102">
        <v>14.256183200000001</v>
      </c>
      <c r="DD201" s="102">
        <v>5.2088147000000014</v>
      </c>
      <c r="DE201" s="102">
        <v>0.15738379999999999</v>
      </c>
      <c r="DF201" s="102">
        <v>5.9307794000000005</v>
      </c>
      <c r="DG201" s="102">
        <v>10.585554699999999</v>
      </c>
      <c r="DH201" s="102">
        <v>2.8030254000000001</v>
      </c>
      <c r="DI201" s="102">
        <v>0.39345950000000002</v>
      </c>
      <c r="DJ201" s="102">
        <v>0.26795089999999999</v>
      </c>
      <c r="DK201" s="102">
        <v>1.2347669999999999</v>
      </c>
      <c r="DL201" s="102">
        <v>7.59</v>
      </c>
      <c r="DM201" s="102">
        <v>39.558917695008212</v>
      </c>
      <c r="DN201" s="102">
        <v>361.4</v>
      </c>
      <c r="DO201" s="102">
        <v>163.51468977685761</v>
      </c>
      <c r="DP201" s="102">
        <v>49.137989173659939</v>
      </c>
      <c r="DQ201" s="102">
        <v>68.765082271989399</v>
      </c>
      <c r="DR201" s="102">
        <v>147.4228</v>
      </c>
      <c r="DS201" s="102">
        <v>109.571</v>
      </c>
      <c r="DT201" s="102">
        <v>4.6364805677879097</v>
      </c>
      <c r="DU201" s="102">
        <v>219.94692569971579</v>
      </c>
      <c r="DV201" s="102">
        <v>36.992664175828665</v>
      </c>
      <c r="DW201" s="102">
        <v>175.65107390521405</v>
      </c>
      <c r="DX201" s="102">
        <v>12.431209310200693</v>
      </c>
      <c r="DY201" s="102"/>
      <c r="DZ201" s="102">
        <v>126</v>
      </c>
      <c r="EA201" s="102">
        <v>15.566533487802449</v>
      </c>
      <c r="EB201" s="102">
        <v>42.595525403075165</v>
      </c>
      <c r="EC201" s="102">
        <v>5.6516871373606721</v>
      </c>
      <c r="ED201" s="102">
        <v>27.375272642672201</v>
      </c>
      <c r="EE201" s="102">
        <v>7.2673227771689604</v>
      </c>
      <c r="EF201" s="102">
        <v>2.3060570685185073</v>
      </c>
      <c r="EG201" s="102">
        <v>7.6292750920670143</v>
      </c>
      <c r="EH201" s="102">
        <v>1.3525440305125698</v>
      </c>
      <c r="EI201" s="102">
        <v>8.9391532591127323</v>
      </c>
      <c r="EJ201" s="102">
        <v>1.8534988344328287</v>
      </c>
      <c r="EK201" s="102">
        <v>5.2587412918743528</v>
      </c>
      <c r="EL201" s="102">
        <v>0.76958905789424636</v>
      </c>
      <c r="EM201" s="102">
        <v>4.7379927076244792</v>
      </c>
      <c r="EN201" s="102">
        <v>0.66497659191791658</v>
      </c>
      <c r="EO201" s="102">
        <v>5.5672081684116135</v>
      </c>
      <c r="EP201" s="102">
        <v>0.93730612776780009</v>
      </c>
      <c r="EQ201" s="102">
        <v>1.6559717720497713</v>
      </c>
      <c r="ER201" s="102">
        <v>1.7429287348285269</v>
      </c>
      <c r="ES201" s="102">
        <v>0.44861007228615379</v>
      </c>
    </row>
    <row r="202" spans="1:149">
      <c r="A202" s="81" t="s">
        <v>637</v>
      </c>
      <c r="C202" s="81" t="s">
        <v>625</v>
      </c>
      <c r="E202" s="81" t="s">
        <v>129</v>
      </c>
      <c r="F202" s="81" t="s">
        <v>130</v>
      </c>
      <c r="DA202" s="102">
        <v>48.363580499999998</v>
      </c>
      <c r="DB202" s="102">
        <v>2.8488473000000001</v>
      </c>
      <c r="DC202" s="102">
        <v>16.397332199999997</v>
      </c>
      <c r="DD202" s="102">
        <v>10.697527399999998</v>
      </c>
      <c r="DE202" s="102">
        <v>0.14937039999999999</v>
      </c>
      <c r="DF202" s="102">
        <v>3.1672420999999997</v>
      </c>
      <c r="DG202" s="102">
        <v>8.0709150999999988</v>
      </c>
      <c r="DH202" s="102">
        <v>3.0050965999999999</v>
      </c>
      <c r="DI202" s="102">
        <v>1.3580913999999999</v>
      </c>
      <c r="DJ202" s="102">
        <v>0.3793222</v>
      </c>
      <c r="DK202" s="102">
        <v>2.0839340000000002</v>
      </c>
      <c r="DL202" s="102">
        <v>3.18</v>
      </c>
      <c r="DM202" s="102"/>
      <c r="DN202" s="102">
        <v>387.6</v>
      </c>
      <c r="DO202" s="102"/>
      <c r="DP202" s="102"/>
      <c r="DQ202" s="102"/>
      <c r="DR202" s="102">
        <v>195.5573</v>
      </c>
      <c r="DS202" s="102">
        <v>113.01049999999999</v>
      </c>
      <c r="DT202" s="102"/>
      <c r="DU202" s="102"/>
      <c r="DV202" s="102"/>
      <c r="DW202" s="102"/>
      <c r="DX202" s="102"/>
      <c r="DY202" s="102"/>
      <c r="DZ202" s="102">
        <v>136.30000000000001</v>
      </c>
      <c r="EA202" s="102"/>
      <c r="EB202" s="102"/>
      <c r="EC202" s="102"/>
      <c r="ED202" s="102"/>
      <c r="EE202" s="102"/>
      <c r="EF202" s="102"/>
      <c r="EG202" s="102"/>
      <c r="EH202" s="102"/>
      <c r="EI202" s="102"/>
      <c r="EJ202" s="102"/>
      <c r="EK202" s="102"/>
      <c r="EL202" s="102"/>
      <c r="EM202" s="102"/>
      <c r="EN202" s="102"/>
      <c r="EO202" s="102"/>
      <c r="EP202" s="102"/>
      <c r="EQ202" s="102"/>
      <c r="ER202" s="102"/>
      <c r="ES202" s="102"/>
    </row>
    <row r="203" spans="1:149">
      <c r="A203" s="81" t="s">
        <v>638</v>
      </c>
      <c r="C203" s="81" t="s">
        <v>626</v>
      </c>
      <c r="E203" s="81" t="s">
        <v>129</v>
      </c>
      <c r="F203" s="81" t="s">
        <v>130</v>
      </c>
      <c r="DA203" s="102">
        <v>49.510187999999999</v>
      </c>
      <c r="DB203" s="102">
        <v>2.5529783999999998</v>
      </c>
      <c r="DC203" s="102">
        <v>14.479206</v>
      </c>
      <c r="DD203" s="102">
        <v>4.3448944000000012</v>
      </c>
      <c r="DE203" s="102">
        <v>0.20591759999999998</v>
      </c>
      <c r="DF203" s="102">
        <v>5.8216703999999995</v>
      </c>
      <c r="DG203" s="102">
        <v>11.076567599999999</v>
      </c>
      <c r="DH203" s="102">
        <v>2.7998795999999997</v>
      </c>
      <c r="DI203" s="102">
        <v>0.36785279999999998</v>
      </c>
      <c r="DJ203" s="102">
        <v>0.27888840000000004</v>
      </c>
      <c r="DK203" s="102">
        <v>0.94375599999999993</v>
      </c>
      <c r="DL203" s="102">
        <v>8.1199999999999992</v>
      </c>
      <c r="DM203" s="102"/>
      <c r="DN203" s="102">
        <v>362.9</v>
      </c>
      <c r="DO203" s="102"/>
      <c r="DP203" s="102"/>
      <c r="DQ203" s="102"/>
      <c r="DR203" s="102">
        <v>292.88279999999997</v>
      </c>
      <c r="DS203" s="102">
        <v>123.95039999999999</v>
      </c>
      <c r="DT203" s="102"/>
      <c r="DU203" s="102"/>
      <c r="DV203" s="102"/>
      <c r="DW203" s="102"/>
      <c r="DX203" s="102"/>
      <c r="DY203" s="102"/>
      <c r="DZ203" s="102">
        <v>120.5</v>
      </c>
      <c r="EA203" s="102"/>
      <c r="EB203" s="102"/>
      <c r="EC203" s="102"/>
      <c r="ED203" s="102"/>
      <c r="EE203" s="102"/>
      <c r="EF203" s="102"/>
      <c r="EG203" s="102"/>
      <c r="EH203" s="102"/>
      <c r="EI203" s="102"/>
      <c r="EJ203" s="102"/>
      <c r="EK203" s="102"/>
      <c r="EL203" s="102"/>
      <c r="EM203" s="102"/>
      <c r="EN203" s="102"/>
      <c r="EO203" s="102"/>
      <c r="EP203" s="102"/>
      <c r="EQ203" s="102"/>
      <c r="ER203" s="102"/>
      <c r="ES203" s="102"/>
    </row>
    <row r="204" spans="1:149">
      <c r="A204" s="81" t="s">
        <v>639</v>
      </c>
      <c r="C204" s="81" t="s">
        <v>627</v>
      </c>
      <c r="E204" s="81" t="s">
        <v>129</v>
      </c>
      <c r="F204" s="81" t="s">
        <v>130</v>
      </c>
      <c r="DA204" s="102">
        <v>48.016043099999997</v>
      </c>
      <c r="DB204" s="102">
        <v>2.7395217999999999</v>
      </c>
      <c r="DC204" s="102">
        <v>15.326831399999998</v>
      </c>
      <c r="DD204" s="102">
        <v>8.4711973</v>
      </c>
      <c r="DE204" s="102">
        <v>0.18015439999999999</v>
      </c>
      <c r="DF204" s="102">
        <v>4.4255319999999996</v>
      </c>
      <c r="DG204" s="102">
        <v>7.6820186000000001</v>
      </c>
      <c r="DH204" s="102">
        <v>2.5299944000000001</v>
      </c>
      <c r="DI204" s="102">
        <v>1.4794200999999998</v>
      </c>
      <c r="DJ204" s="102">
        <v>0.35051779999999999</v>
      </c>
      <c r="DK204" s="102">
        <v>2.7255229999999999</v>
      </c>
      <c r="DL204" s="102">
        <v>5.71</v>
      </c>
      <c r="DM204" s="102">
        <v>42.00900198003999</v>
      </c>
      <c r="DN204" s="102">
        <v>374</v>
      </c>
      <c r="DO204" s="102">
        <v>171.65603083110111</v>
      </c>
      <c r="DP204" s="102">
        <v>47.949197898109631</v>
      </c>
      <c r="DQ204" s="102">
        <v>74.169493529931131</v>
      </c>
      <c r="DR204" s="102">
        <v>374.01619999999997</v>
      </c>
      <c r="DS204" s="102">
        <v>141.96949999999998</v>
      </c>
      <c r="DT204" s="102">
        <v>23.369526539590677</v>
      </c>
      <c r="DU204" s="102">
        <v>172.41411990045569</v>
      </c>
      <c r="DV204" s="102">
        <v>44.317461609427184</v>
      </c>
      <c r="DW204" s="102">
        <v>193.26165249485913</v>
      </c>
      <c r="DX204" s="102">
        <v>13.260742682725278</v>
      </c>
      <c r="DY204" s="102"/>
      <c r="DZ204" s="102">
        <v>148.9</v>
      </c>
      <c r="EA204" s="102">
        <v>17.002924446284517</v>
      </c>
      <c r="EB204" s="102">
        <v>45.817201808430511</v>
      </c>
      <c r="EC204" s="102">
        <v>6.1981867282544627</v>
      </c>
      <c r="ED204" s="102">
        <v>30.242600980840404</v>
      </c>
      <c r="EE204" s="102">
        <v>8.028148358318429</v>
      </c>
      <c r="EF204" s="102">
        <v>2.5543865043064362</v>
      </c>
      <c r="EG204" s="102">
        <v>8.4655490094397194</v>
      </c>
      <c r="EH204" s="102">
        <v>1.5169578298651354</v>
      </c>
      <c r="EI204" s="102">
        <v>10.096231042371752</v>
      </c>
      <c r="EJ204" s="102">
        <v>2.1397949919714092</v>
      </c>
      <c r="EK204" s="102">
        <v>6.1024640565347017</v>
      </c>
      <c r="EL204" s="102">
        <v>0.90098340863356219</v>
      </c>
      <c r="EM204" s="102">
        <v>5.4366530394488812</v>
      </c>
      <c r="EN204" s="102">
        <v>0.76941713511163545</v>
      </c>
      <c r="EO204" s="102">
        <v>5.9454750882495162</v>
      </c>
      <c r="EP204" s="102">
        <v>1.0494165397893929</v>
      </c>
      <c r="EQ204" s="102">
        <v>2.0280606334009073</v>
      </c>
      <c r="ER204" s="102">
        <v>1.982793146069737</v>
      </c>
      <c r="ES204" s="102">
        <v>0.66330232415843726</v>
      </c>
    </row>
    <row r="205" spans="1:149">
      <c r="A205" s="81" t="s">
        <v>640</v>
      </c>
      <c r="C205" s="81" t="s">
        <v>628</v>
      </c>
      <c r="E205" s="81" t="s">
        <v>129</v>
      </c>
      <c r="F205" s="81" t="s">
        <v>130</v>
      </c>
      <c r="DA205" s="102">
        <v>48.265573599999996</v>
      </c>
      <c r="DB205" s="102">
        <v>2.7871215999999999</v>
      </c>
      <c r="DC205" s="102">
        <v>15.422787999999999</v>
      </c>
      <c r="DD205" s="102">
        <v>7.8739965999999999</v>
      </c>
      <c r="DE205" s="102">
        <v>0.18821359999999998</v>
      </c>
      <c r="DF205" s="102">
        <v>4.4732424000000002</v>
      </c>
      <c r="DG205" s="102">
        <v>7.4827095999999997</v>
      </c>
      <c r="DH205" s="102">
        <v>2.3434055999999996</v>
      </c>
      <c r="DI205" s="102">
        <v>1.5174112</v>
      </c>
      <c r="DJ205" s="102">
        <v>0.40763359999999998</v>
      </c>
      <c r="DK205" s="102">
        <v>3.1489129999999999</v>
      </c>
      <c r="DL205" s="102">
        <v>6.01</v>
      </c>
      <c r="DM205" s="102"/>
      <c r="DN205" s="102">
        <v>390.1</v>
      </c>
      <c r="DO205" s="102"/>
      <c r="DP205" s="102"/>
      <c r="DQ205" s="102"/>
      <c r="DR205" s="102">
        <v>346.19599999999997</v>
      </c>
      <c r="DS205" s="102">
        <v>147.25519999999997</v>
      </c>
      <c r="DT205" s="102"/>
      <c r="DU205" s="102"/>
      <c r="DV205" s="102"/>
      <c r="DW205" s="102"/>
      <c r="DX205" s="102"/>
      <c r="DY205" s="102"/>
      <c r="DZ205" s="102">
        <v>145</v>
      </c>
      <c r="EA205" s="102"/>
      <c r="EB205" s="102"/>
      <c r="EC205" s="102"/>
      <c r="ED205" s="102"/>
      <c r="EE205" s="102"/>
      <c r="EF205" s="102"/>
      <c r="EG205" s="102"/>
      <c r="EH205" s="102"/>
      <c r="EI205" s="102"/>
      <c r="EJ205" s="102"/>
      <c r="EK205" s="102"/>
      <c r="EL205" s="102"/>
      <c r="EM205" s="102"/>
      <c r="EN205" s="102"/>
      <c r="EO205" s="102"/>
      <c r="EP205" s="102"/>
      <c r="EQ205" s="102"/>
      <c r="ER205" s="102"/>
      <c r="ES205" s="102"/>
    </row>
    <row r="206" spans="1:149">
      <c r="A206" s="81" t="s">
        <v>641</v>
      </c>
      <c r="C206" s="81" t="s">
        <v>629</v>
      </c>
      <c r="E206" s="81" t="s">
        <v>129</v>
      </c>
      <c r="F206" s="81" t="s">
        <v>130</v>
      </c>
      <c r="DA206" s="102">
        <v>49.153675199999995</v>
      </c>
      <c r="DB206" s="102">
        <v>2.5874511999999998</v>
      </c>
      <c r="DC206" s="102">
        <v>14.452608</v>
      </c>
      <c r="DD206" s="102">
        <v>7.1396325999999997</v>
      </c>
      <c r="DE206" s="102">
        <v>0.16782400000000003</v>
      </c>
      <c r="DF206" s="102">
        <v>5.4523055999999999</v>
      </c>
      <c r="DG206" s="102">
        <v>9.4889664000000007</v>
      </c>
      <c r="DH206" s="102">
        <v>2.6605039999999995</v>
      </c>
      <c r="DI206" s="102">
        <v>0.62785919999999995</v>
      </c>
      <c r="DJ206" s="102">
        <v>0.27148000000000005</v>
      </c>
      <c r="DK206" s="102">
        <v>1.993433</v>
      </c>
      <c r="DL206" s="102">
        <v>6.41</v>
      </c>
      <c r="DM206" s="102"/>
      <c r="DN206" s="102">
        <v>341.4</v>
      </c>
      <c r="DO206" s="102"/>
      <c r="DP206" s="102"/>
      <c r="DQ206" s="102"/>
      <c r="DR206" s="102">
        <v>146.10559999999998</v>
      </c>
      <c r="DS206" s="102">
        <v>121.42559999999999</v>
      </c>
      <c r="DT206" s="102"/>
      <c r="DU206" s="102"/>
      <c r="DV206" s="102"/>
      <c r="DW206" s="102"/>
      <c r="DX206" s="102"/>
      <c r="DY206" s="102"/>
      <c r="DZ206" s="102">
        <v>114.5</v>
      </c>
      <c r="EA206" s="102"/>
      <c r="EB206" s="102"/>
      <c r="EC206" s="102"/>
      <c r="ED206" s="102"/>
      <c r="EE206" s="102"/>
      <c r="EF206" s="102"/>
      <c r="EG206" s="102"/>
      <c r="EH206" s="102"/>
      <c r="EI206" s="102"/>
      <c r="EJ206" s="102"/>
      <c r="EK206" s="102"/>
      <c r="EL206" s="102"/>
      <c r="EM206" s="102"/>
      <c r="EN206" s="102"/>
      <c r="EO206" s="102"/>
      <c r="EP206" s="102"/>
      <c r="EQ206" s="102"/>
      <c r="ER206" s="102"/>
      <c r="ES206" s="102"/>
    </row>
    <row r="207" spans="1:149">
      <c r="A207" s="81" t="s">
        <v>642</v>
      </c>
      <c r="C207" s="81" t="s">
        <v>630</v>
      </c>
      <c r="E207" s="81" t="s">
        <v>129</v>
      </c>
      <c r="F207" s="81" t="s">
        <v>130</v>
      </c>
      <c r="DA207" s="102">
        <v>49.934007199999996</v>
      </c>
      <c r="DB207" s="102">
        <v>2.487012</v>
      </c>
      <c r="DC207" s="102">
        <v>13.824390799999998</v>
      </c>
      <c r="DD207" s="102">
        <v>4.4468902000000003</v>
      </c>
      <c r="DE207" s="102">
        <v>0.18677559999999999</v>
      </c>
      <c r="DF207" s="102">
        <v>5.9248816</v>
      </c>
      <c r="DG207" s="102">
        <v>10.782046000000001</v>
      </c>
      <c r="DH207" s="102">
        <v>2.7526927999999997</v>
      </c>
      <c r="DI207" s="102">
        <v>0.37854520000000003</v>
      </c>
      <c r="DJ207" s="102">
        <v>0.26967600000000003</v>
      </c>
      <c r="DK207" s="102">
        <v>1.0604849999999999</v>
      </c>
      <c r="DL207" s="102">
        <v>8.4499999999999993</v>
      </c>
      <c r="DM207" s="102"/>
      <c r="DN207" s="102">
        <v>351.9</v>
      </c>
      <c r="DO207" s="102"/>
      <c r="DP207" s="102"/>
      <c r="DQ207" s="102"/>
      <c r="DR207" s="102">
        <v>218.73719999999997</v>
      </c>
      <c r="DS207" s="102">
        <v>107.87039999999999</v>
      </c>
      <c r="DT207" s="102"/>
      <c r="DU207" s="102"/>
      <c r="DV207" s="102"/>
      <c r="DW207" s="102"/>
      <c r="DX207" s="102"/>
      <c r="DY207" s="102"/>
      <c r="DZ207" s="102">
        <v>119.8</v>
      </c>
      <c r="EA207" s="102"/>
      <c r="EB207" s="102"/>
      <c r="EC207" s="102"/>
      <c r="ED207" s="102"/>
      <c r="EE207" s="102"/>
      <c r="EF207" s="102"/>
      <c r="EG207" s="102"/>
      <c r="EH207" s="102"/>
      <c r="EI207" s="102"/>
      <c r="EJ207" s="102"/>
      <c r="EK207" s="102"/>
      <c r="EL207" s="102"/>
      <c r="EM207" s="102"/>
      <c r="EN207" s="102"/>
      <c r="EO207" s="102"/>
      <c r="EP207" s="102"/>
      <c r="EQ207" s="102"/>
      <c r="ER207" s="102"/>
      <c r="ES207" s="102"/>
    </row>
    <row r="208" spans="1:149">
      <c r="A208" s="81" t="s">
        <v>643</v>
      </c>
      <c r="C208" s="81" t="s">
        <v>631</v>
      </c>
      <c r="E208" s="81" t="s">
        <v>129</v>
      </c>
      <c r="F208" s="81" t="s">
        <v>130</v>
      </c>
      <c r="DA208" s="102">
        <v>48.617273599999997</v>
      </c>
      <c r="DB208" s="102">
        <v>2.5976143999999999</v>
      </c>
      <c r="DC208" s="102">
        <v>14.638864799999999</v>
      </c>
      <c r="DD208" s="102">
        <v>7.8458721999999979</v>
      </c>
      <c r="DE208" s="102">
        <v>0.1582952</v>
      </c>
      <c r="DF208" s="102">
        <v>5.4144823999999998</v>
      </c>
      <c r="DG208" s="102">
        <v>8.7357319999999987</v>
      </c>
      <c r="DH208" s="102">
        <v>2.6202279999999996</v>
      </c>
      <c r="DI208" s="102">
        <v>0.7560808</v>
      </c>
      <c r="DJ208" s="102">
        <v>0.26939679999999999</v>
      </c>
      <c r="DK208" s="102">
        <v>2.3600430000000001</v>
      </c>
      <c r="DL208" s="102">
        <v>6.11</v>
      </c>
      <c r="DM208" s="102"/>
      <c r="DN208" s="102">
        <v>333.2</v>
      </c>
      <c r="DO208" s="102"/>
      <c r="DP208" s="102"/>
      <c r="DQ208" s="102"/>
      <c r="DR208" s="102">
        <v>229.08559999999997</v>
      </c>
      <c r="DS208" s="102">
        <v>107.16879999999999</v>
      </c>
      <c r="DT208" s="102"/>
      <c r="DU208" s="102"/>
      <c r="DV208" s="102"/>
      <c r="DW208" s="102"/>
      <c r="DX208" s="102"/>
      <c r="DY208" s="102"/>
      <c r="DZ208" s="102">
        <v>108.1</v>
      </c>
      <c r="EA208" s="102"/>
      <c r="EB208" s="102"/>
      <c r="EC208" s="102"/>
      <c r="ED208" s="102"/>
      <c r="EE208" s="102"/>
      <c r="EF208" s="102"/>
      <c r="EG208" s="102"/>
      <c r="EH208" s="102"/>
      <c r="EI208" s="102"/>
      <c r="EJ208" s="102"/>
      <c r="EK208" s="102"/>
      <c r="EL208" s="102"/>
      <c r="EM208" s="102"/>
      <c r="EN208" s="102"/>
      <c r="EO208" s="102"/>
      <c r="EP208" s="102"/>
      <c r="EQ208" s="102"/>
      <c r="ER208" s="102"/>
      <c r="ES208" s="102"/>
    </row>
    <row r="209" spans="1:205">
      <c r="A209" s="81" t="s">
        <v>644</v>
      </c>
      <c r="C209" s="81" t="s">
        <v>632</v>
      </c>
      <c r="E209" s="81" t="s">
        <v>129</v>
      </c>
      <c r="F209" s="81" t="s">
        <v>130</v>
      </c>
      <c r="DA209" s="102">
        <v>49.581369000000002</v>
      </c>
      <c r="DB209" s="102">
        <v>2.4125850000000004</v>
      </c>
      <c r="DC209" s="102">
        <v>13.485501000000001</v>
      </c>
      <c r="DD209" s="102">
        <v>4.4846470000000025</v>
      </c>
      <c r="DE209" s="102">
        <v>0.19480500000000003</v>
      </c>
      <c r="DF209" s="102">
        <v>6.2047890000000008</v>
      </c>
      <c r="DG209" s="102">
        <v>10.926062999999999</v>
      </c>
      <c r="DH209" s="102">
        <v>2.6743229999999998</v>
      </c>
      <c r="DI209" s="102">
        <v>0.27172800000000003</v>
      </c>
      <c r="DJ209" s="102">
        <v>0.254745</v>
      </c>
      <c r="DK209" s="102">
        <v>1.067197</v>
      </c>
      <c r="DL209" s="102">
        <v>8.69</v>
      </c>
      <c r="DM209" s="102"/>
      <c r="DN209" s="102">
        <v>318.89999999999998</v>
      </c>
      <c r="DO209" s="102"/>
      <c r="DP209" s="102"/>
      <c r="DQ209" s="102"/>
      <c r="DR209" s="102">
        <v>180.81900000000002</v>
      </c>
      <c r="DS209" s="102">
        <v>108.89100000000001</v>
      </c>
      <c r="DT209" s="102"/>
      <c r="DU209" s="102"/>
      <c r="DV209" s="102"/>
      <c r="DW209" s="102"/>
      <c r="DX209" s="102"/>
      <c r="DY209" s="102"/>
      <c r="DZ209" s="102">
        <v>108.9</v>
      </c>
      <c r="EA209" s="102"/>
      <c r="EB209" s="102"/>
      <c r="EC209" s="102"/>
      <c r="ED209" s="102"/>
      <c r="EE209" s="102"/>
      <c r="EF209" s="102"/>
      <c r="EG209" s="102"/>
      <c r="EH209" s="102"/>
      <c r="EI209" s="102"/>
      <c r="EJ209" s="102"/>
      <c r="EK209" s="102"/>
      <c r="EL209" s="102"/>
      <c r="EM209" s="102"/>
      <c r="EN209" s="102"/>
      <c r="EO209" s="102"/>
      <c r="EP209" s="102"/>
      <c r="EQ209" s="102"/>
      <c r="ER209" s="102"/>
      <c r="ES209" s="102"/>
    </row>
    <row r="210" spans="1:205">
      <c r="A210" s="81" t="s">
        <v>645</v>
      </c>
      <c r="C210" s="81" t="s">
        <v>633</v>
      </c>
      <c r="E210" s="81" t="s">
        <v>129</v>
      </c>
      <c r="F210" s="81" t="s">
        <v>130</v>
      </c>
      <c r="DA210" s="102">
        <v>48.357054000000005</v>
      </c>
      <c r="DB210" s="102">
        <v>2.4138579</v>
      </c>
      <c r="DC210" s="102">
        <v>13.575329100000001</v>
      </c>
      <c r="DD210" s="102">
        <v>4.0744082000000024</v>
      </c>
      <c r="DE210" s="102">
        <v>0.2027361</v>
      </c>
      <c r="DF210" s="102">
        <v>6.2508633000000007</v>
      </c>
      <c r="DG210" s="102">
        <v>10.729034100000002</v>
      </c>
      <c r="DH210" s="102">
        <v>2.7204588000000003</v>
      </c>
      <c r="DI210" s="102">
        <v>0.34155540000000001</v>
      </c>
      <c r="DJ210" s="102">
        <v>0.24967500000000001</v>
      </c>
      <c r="DK210" s="102">
        <v>1.1628639999999999</v>
      </c>
      <c r="DL210" s="102">
        <v>9.2799999999999994</v>
      </c>
      <c r="DM210" s="102"/>
      <c r="DN210" s="102">
        <v>319.39999999999998</v>
      </c>
      <c r="DO210" s="102"/>
      <c r="DP210" s="102"/>
      <c r="DQ210" s="102"/>
      <c r="DR210" s="102">
        <v>97.872600000000006</v>
      </c>
      <c r="DS210" s="102">
        <v>110.8557</v>
      </c>
      <c r="DT210" s="102"/>
      <c r="DU210" s="102"/>
      <c r="DV210" s="102"/>
      <c r="DW210" s="102"/>
      <c r="DX210" s="102"/>
      <c r="DY210" s="102"/>
      <c r="DZ210" s="102">
        <v>128.30000000000001</v>
      </c>
      <c r="EA210" s="102"/>
      <c r="EB210" s="102"/>
      <c r="EC210" s="102"/>
      <c r="ED210" s="102"/>
      <c r="EE210" s="102"/>
      <c r="EF210" s="102"/>
      <c r="EG210" s="102"/>
      <c r="EH210" s="102"/>
      <c r="EI210" s="102"/>
      <c r="EJ210" s="102"/>
      <c r="EK210" s="102"/>
      <c r="EL210" s="102"/>
      <c r="EM210" s="102"/>
      <c r="EN210" s="102"/>
      <c r="EO210" s="102"/>
      <c r="EP210" s="102"/>
      <c r="EQ210" s="102"/>
      <c r="ER210" s="102"/>
      <c r="ES210" s="102"/>
    </row>
    <row r="211" spans="1:205">
      <c r="A211" s="81" t="s">
        <v>646</v>
      </c>
      <c r="C211" s="81" t="s">
        <v>634</v>
      </c>
      <c r="E211" s="81" t="s">
        <v>129</v>
      </c>
      <c r="F211" s="81" t="s">
        <v>130</v>
      </c>
      <c r="DA211" s="81">
        <v>47.561606400000002</v>
      </c>
      <c r="DB211" s="81">
        <v>2.7562656000000003</v>
      </c>
      <c r="DC211" s="81">
        <v>14.840907200000002</v>
      </c>
      <c r="DD211" s="81">
        <v>7.3744219999999991</v>
      </c>
      <c r="DE211" s="81">
        <v>0.17772960000000002</v>
      </c>
      <c r="DF211" s="81">
        <v>5.530984000000001</v>
      </c>
      <c r="DG211" s="81">
        <v>7.9706384000000012</v>
      </c>
      <c r="DH211" s="81">
        <v>2.1172160000000004</v>
      </c>
      <c r="DI211" s="81">
        <v>0.54387200000000002</v>
      </c>
      <c r="DJ211" s="81">
        <v>0.27290720000000002</v>
      </c>
      <c r="DK211" s="81">
        <v>3.6568740000000002</v>
      </c>
      <c r="DL211" s="81">
        <v>6.98</v>
      </c>
      <c r="DM211" s="102">
        <v>41.591106557803336</v>
      </c>
      <c r="DN211" s="102">
        <v>304.60000000000002</v>
      </c>
      <c r="DO211" s="102">
        <v>173.25433388565773</v>
      </c>
      <c r="DP211" s="102">
        <v>45.544316925278046</v>
      </c>
      <c r="DQ211" s="102">
        <v>77.436772519819328</v>
      </c>
      <c r="DR211" s="102">
        <v>111.68800000000002</v>
      </c>
      <c r="DS211" s="102">
        <v>126.256</v>
      </c>
      <c r="DT211" s="102">
        <v>8.383802985618523</v>
      </c>
      <c r="DU211" s="102">
        <v>137.73416984721931</v>
      </c>
      <c r="DV211" s="102">
        <v>36.013759980809269</v>
      </c>
      <c r="DW211" s="102">
        <v>190.14458644232099</v>
      </c>
      <c r="DX211" s="102">
        <v>13.09733956494342</v>
      </c>
      <c r="DY211" s="102"/>
      <c r="DZ211" s="102">
        <v>92.8</v>
      </c>
      <c r="EA211" s="102">
        <v>14.428277850558455</v>
      </c>
      <c r="EB211" s="102">
        <v>40.998909694229155</v>
      </c>
      <c r="EC211" s="102">
        <v>5.3389497029694173</v>
      </c>
      <c r="ED211" s="102">
        <v>25.973034586061079</v>
      </c>
      <c r="EE211" s="102">
        <v>6.9796894862633936</v>
      </c>
      <c r="EF211" s="102">
        <v>2.0491594997190612</v>
      </c>
      <c r="EG211" s="102">
        <v>7.2150702566122824</v>
      </c>
      <c r="EH211" s="102">
        <v>1.2726529477658499</v>
      </c>
      <c r="EI211" s="102">
        <v>8.2531559274846824</v>
      </c>
      <c r="EJ211" s="102">
        <v>1.6903764748842767</v>
      </c>
      <c r="EK211" s="102">
        <v>4.6787706592274505</v>
      </c>
      <c r="EL211" s="102">
        <v>0.68093703475925227</v>
      </c>
      <c r="EM211" s="102">
        <v>4.1909571410732687</v>
      </c>
      <c r="EN211" s="102">
        <v>0.58804667201071426</v>
      </c>
      <c r="EO211" s="102">
        <v>5.7457559240365086</v>
      </c>
      <c r="EP211" s="102">
        <v>1.0203145209769597</v>
      </c>
      <c r="EQ211" s="102">
        <v>1.721036391104092</v>
      </c>
      <c r="ER211" s="102">
        <v>1.8654184746594737</v>
      </c>
      <c r="ES211" s="102">
        <v>0.33716384454739057</v>
      </c>
    </row>
    <row r="212" spans="1:205">
      <c r="A212" s="81" t="s">
        <v>647</v>
      </c>
      <c r="C212" s="81" t="s">
        <v>651</v>
      </c>
      <c r="E212" s="81" t="s">
        <v>129</v>
      </c>
      <c r="F212" s="81" t="s">
        <v>130</v>
      </c>
      <c r="DA212" s="81">
        <v>47.032049999999998</v>
      </c>
      <c r="DB212" s="81">
        <v>2.5973999999999999</v>
      </c>
      <c r="DC212" s="81">
        <v>14.126775</v>
      </c>
      <c r="DD212" s="81">
        <v>11.554680000000001</v>
      </c>
      <c r="DE212" s="81">
        <v>0.4758</v>
      </c>
      <c r="DF212" s="81">
        <v>6.5987999999999998</v>
      </c>
      <c r="DG212" s="81">
        <v>3.9506999999999994</v>
      </c>
      <c r="DH212" s="81">
        <v>3.4524750000000002</v>
      </c>
      <c r="DI212" s="81">
        <v>1.8846750000000001</v>
      </c>
      <c r="DJ212" s="81">
        <v>0.33247500000000002</v>
      </c>
      <c r="DK212" s="81">
        <v>3.0175450000000001</v>
      </c>
      <c r="DL212" s="81">
        <v>4.6500000000000004</v>
      </c>
      <c r="DM212" s="102">
        <v>38.290382513679027</v>
      </c>
      <c r="DN212" s="102">
        <v>648.9</v>
      </c>
      <c r="DO212" s="102">
        <v>23.897945973225454</v>
      </c>
      <c r="DP212" s="102">
        <v>47.407176816192802</v>
      </c>
      <c r="DQ212" s="102">
        <v>24.831302701670992</v>
      </c>
      <c r="DR212" s="102">
        <v>133.57499999999999</v>
      </c>
      <c r="DS212" s="102">
        <v>136.5</v>
      </c>
      <c r="DT212" s="102">
        <v>10.037273347170258</v>
      </c>
      <c r="DU212" s="102">
        <v>168.43146618545478</v>
      </c>
      <c r="DV212" s="102">
        <v>42.583922428872114</v>
      </c>
      <c r="DW212" s="102">
        <v>177.631371896182</v>
      </c>
      <c r="DX212" s="102">
        <v>14.86145069659228</v>
      </c>
      <c r="DY212" s="102"/>
      <c r="DZ212" s="102">
        <v>267.8</v>
      </c>
      <c r="EA212" s="102">
        <v>17.052716639006384</v>
      </c>
      <c r="EB212" s="102">
        <v>46.123314982708827</v>
      </c>
      <c r="EC212" s="102">
        <v>6.1530919008614795</v>
      </c>
      <c r="ED212" s="102">
        <v>29.76271805415757</v>
      </c>
      <c r="EE212" s="102">
        <v>7.7923304103397424</v>
      </c>
      <c r="EF212" s="102">
        <v>2.4076537167420105</v>
      </c>
      <c r="EG212" s="102">
        <v>8.318578792318176</v>
      </c>
      <c r="EH212" s="102">
        <v>1.4938474404655437</v>
      </c>
      <c r="EI212" s="102">
        <v>10.168208134165527</v>
      </c>
      <c r="EJ212" s="102">
        <v>2.1917484532046609</v>
      </c>
      <c r="EK212" s="102">
        <v>6.3702463703727492</v>
      </c>
      <c r="EL212" s="102">
        <v>0.94445324784782003</v>
      </c>
      <c r="EM212" s="102">
        <v>5.7635484442201479</v>
      </c>
      <c r="EN212" s="102">
        <v>0.80406391646172937</v>
      </c>
      <c r="EO212" s="102">
        <v>5.746293952805936</v>
      </c>
      <c r="EP212" s="102">
        <v>1.1718509193693969</v>
      </c>
      <c r="EQ212" s="102">
        <v>1.4526531360860586</v>
      </c>
      <c r="ER212" s="102">
        <v>1.4157565878566893</v>
      </c>
      <c r="ES212" s="102">
        <v>0.39104925239963972</v>
      </c>
    </row>
    <row r="213" spans="1:205">
      <c r="A213" s="81" t="s">
        <v>648</v>
      </c>
      <c r="C213" s="81" t="s">
        <v>652</v>
      </c>
      <c r="E213" s="81" t="s">
        <v>129</v>
      </c>
      <c r="F213" s="81" t="s">
        <v>130</v>
      </c>
      <c r="DA213" s="81">
        <v>45.450040000000008</v>
      </c>
      <c r="DB213" s="81">
        <v>2.7092209999999999</v>
      </c>
      <c r="DC213" s="81">
        <v>14.089317000000001</v>
      </c>
      <c r="DD213" s="81">
        <v>13.052285999999999</v>
      </c>
      <c r="DE213" s="81">
        <v>0.46407500000000002</v>
      </c>
      <c r="DF213" s="81">
        <v>6.7285989999999991</v>
      </c>
      <c r="DG213" s="81">
        <v>4.4160399999999997</v>
      </c>
      <c r="DH213" s="81">
        <v>3.6432330000000004</v>
      </c>
      <c r="DI213" s="81">
        <v>0.90763300000000002</v>
      </c>
      <c r="DJ213" s="81">
        <v>0.32338700000000004</v>
      </c>
      <c r="DK213" s="81">
        <v>2.8242229999999999</v>
      </c>
      <c r="DL213" s="81">
        <v>4.71</v>
      </c>
      <c r="DM213" s="102"/>
      <c r="DN213" s="102">
        <v>636.20000000000005</v>
      </c>
      <c r="DO213" s="102"/>
      <c r="DP213" s="102"/>
      <c r="DQ213" s="102"/>
      <c r="DR213" s="102">
        <v>189.53799999999998</v>
      </c>
      <c r="DS213" s="102">
        <v>133.84899999999999</v>
      </c>
      <c r="DT213" s="102"/>
      <c r="DU213" s="102"/>
      <c r="DV213" s="102"/>
      <c r="DW213" s="102"/>
      <c r="DX213" s="102"/>
      <c r="DY213" s="102"/>
      <c r="DZ213" s="102">
        <v>510.2</v>
      </c>
      <c r="EA213" s="102"/>
      <c r="EB213" s="102"/>
      <c r="EC213" s="102"/>
      <c r="ED213" s="102"/>
      <c r="EE213" s="102"/>
      <c r="EF213" s="102"/>
      <c r="EG213" s="102"/>
      <c r="EH213" s="102"/>
      <c r="EI213" s="102"/>
      <c r="EJ213" s="102"/>
      <c r="EK213" s="102"/>
      <c r="EL213" s="102"/>
      <c r="EM213" s="102"/>
      <c r="EN213" s="102"/>
      <c r="EO213" s="102"/>
      <c r="EP213" s="102"/>
      <c r="EQ213" s="102"/>
      <c r="ER213" s="102"/>
      <c r="ES213" s="102"/>
    </row>
    <row r="214" spans="1:205">
      <c r="A214" s="81" t="s">
        <v>649</v>
      </c>
      <c r="C214" s="81" t="s">
        <v>653</v>
      </c>
      <c r="E214" s="81" t="s">
        <v>129</v>
      </c>
      <c r="F214" s="81" t="s">
        <v>130</v>
      </c>
      <c r="DA214" s="81">
        <v>45.421241600000002</v>
      </c>
      <c r="DB214" s="81">
        <v>2.6847296000000007</v>
      </c>
      <c r="DC214" s="81">
        <v>13.834576000000002</v>
      </c>
      <c r="DD214" s="81">
        <v>12.2263112</v>
      </c>
      <c r="DE214" s="81">
        <v>0.50778960000000006</v>
      </c>
      <c r="DF214" s="81">
        <v>6.5973512000000003</v>
      </c>
      <c r="DG214" s="81">
        <v>4.8176416000000009</v>
      </c>
      <c r="DH214" s="81">
        <v>3.5124560000000002</v>
      </c>
      <c r="DI214" s="81">
        <v>1.1398360000000001</v>
      </c>
      <c r="DJ214" s="81">
        <v>0.30917440000000002</v>
      </c>
      <c r="DK214" s="81">
        <v>2.7432120000000002</v>
      </c>
      <c r="DL214" s="81">
        <v>5.24</v>
      </c>
      <c r="DM214" s="102">
        <v>39.503330761562367</v>
      </c>
      <c r="DN214" s="102">
        <v>656.3</v>
      </c>
      <c r="DO214" s="102">
        <v>25.54859010867326</v>
      </c>
      <c r="DP214" s="102">
        <v>66.59353912636054</v>
      </c>
      <c r="DQ214" s="102">
        <v>27.593247808056166</v>
      </c>
      <c r="DR214" s="102">
        <v>215.24799999999999</v>
      </c>
      <c r="DS214" s="102">
        <v>135.01920000000001</v>
      </c>
      <c r="DT214" s="102">
        <v>5.9991541500868992</v>
      </c>
      <c r="DU214" s="102">
        <v>180.17106979763452</v>
      </c>
      <c r="DV214" s="102">
        <v>36.811602448894497</v>
      </c>
      <c r="DW214" s="102">
        <v>160.43451927820925</v>
      </c>
      <c r="DX214" s="102">
        <v>13.478667334112194</v>
      </c>
      <c r="DY214" s="102"/>
      <c r="DZ214" s="102">
        <v>316.7</v>
      </c>
      <c r="EA214" s="102">
        <v>15.749534072120419</v>
      </c>
      <c r="EB214" s="102">
        <v>42.17760919446178</v>
      </c>
      <c r="EC214" s="102">
        <v>5.5748347715294564</v>
      </c>
      <c r="ED214" s="102">
        <v>26.725734088559012</v>
      </c>
      <c r="EE214" s="102">
        <v>6.9204444590427903</v>
      </c>
      <c r="EF214" s="102">
        <v>2.2499346456299762</v>
      </c>
      <c r="EG214" s="102">
        <v>7.3464013657713476</v>
      </c>
      <c r="EH214" s="102">
        <v>1.3065737115063334</v>
      </c>
      <c r="EI214" s="102">
        <v>8.8987603219372318</v>
      </c>
      <c r="EJ214" s="102">
        <v>1.9110110588277205</v>
      </c>
      <c r="EK214" s="102">
        <v>5.668878409999289</v>
      </c>
      <c r="EL214" s="102">
        <v>0.86023580337894268</v>
      </c>
      <c r="EM214" s="102">
        <v>5.363024563995638</v>
      </c>
      <c r="EN214" s="102">
        <v>0.75759169002987392</v>
      </c>
      <c r="EO214" s="102">
        <v>5.3354820381778731</v>
      </c>
      <c r="EP214" s="102">
        <v>1.099436833990397</v>
      </c>
      <c r="EQ214" s="102">
        <v>1.1596608519527254</v>
      </c>
      <c r="ER214" s="102">
        <v>1.2901057352021836</v>
      </c>
      <c r="ES214" s="102">
        <v>0.36699238004075219</v>
      </c>
    </row>
    <row r="215" spans="1:205">
      <c r="A215" s="81" t="s">
        <v>650</v>
      </c>
      <c r="C215" s="81" t="s">
        <v>654</v>
      </c>
      <c r="E215" s="81" t="s">
        <v>129</v>
      </c>
      <c r="F215" s="81" t="s">
        <v>130</v>
      </c>
      <c r="DA215" s="81">
        <v>46.649009</v>
      </c>
      <c r="DB215" s="81">
        <v>2.1840120000000001</v>
      </c>
      <c r="DC215" s="81">
        <v>13.823269499999999</v>
      </c>
      <c r="DD215" s="81">
        <v>12.106617499999999</v>
      </c>
      <c r="DE215" s="81">
        <v>0.28670049999999997</v>
      </c>
      <c r="DF215" s="81">
        <v>8.7487685000000006</v>
      </c>
      <c r="DG215" s="81">
        <v>5.625396499999999</v>
      </c>
      <c r="DH215" s="81">
        <v>3.3347279999999997</v>
      </c>
      <c r="DI215" s="81">
        <v>0.21918399999999999</v>
      </c>
      <c r="DJ215" s="81">
        <v>0.22896899999999998</v>
      </c>
      <c r="DK215" s="81">
        <v>2.5718269999999999</v>
      </c>
      <c r="DL215" s="81">
        <v>3.79</v>
      </c>
      <c r="DM215" s="102">
        <v>40.966041142711667</v>
      </c>
      <c r="DN215" s="102">
        <v>553</v>
      </c>
      <c r="DO215" s="102">
        <v>57.808132549660371</v>
      </c>
      <c r="DP215" s="102">
        <v>45.267444731316345</v>
      </c>
      <c r="DQ215" s="102">
        <v>37.736434510724337</v>
      </c>
      <c r="DR215" s="102">
        <v>172.21599999999998</v>
      </c>
      <c r="DS215" s="102">
        <v>118.39849999999998</v>
      </c>
      <c r="DT215" s="102">
        <v>2.1441467639316882</v>
      </c>
      <c r="DU215" s="102">
        <v>154.21546638015954</v>
      </c>
      <c r="DV215" s="102">
        <v>46.039074435586599</v>
      </c>
      <c r="DW215" s="102">
        <v>119.40533004260784</v>
      </c>
      <c r="DX215" s="102">
        <v>9.7574279819537608</v>
      </c>
      <c r="DY215" s="102"/>
      <c r="DZ215" s="102">
        <v>41.1</v>
      </c>
      <c r="EA215" s="102">
        <v>11.177677067475638</v>
      </c>
      <c r="EB215" s="102">
        <v>31.23659772297982</v>
      </c>
      <c r="EC215" s="102">
        <v>4.4091846633995821</v>
      </c>
      <c r="ED215" s="102">
        <v>22.307962924013673</v>
      </c>
      <c r="EE215" s="102">
        <v>6.5016073390018727</v>
      </c>
      <c r="EF215" s="102">
        <v>2.1768917867315816</v>
      </c>
      <c r="EG215" s="102">
        <v>7.4593596174000609</v>
      </c>
      <c r="EH215" s="102">
        <v>1.4241511081027847</v>
      </c>
      <c r="EI215" s="102">
        <v>10.10988113726459</v>
      </c>
      <c r="EJ215" s="102">
        <v>2.2733455716433193</v>
      </c>
      <c r="EK215" s="102">
        <v>6.7578860016566473</v>
      </c>
      <c r="EL215" s="102">
        <v>1.0015958083182674</v>
      </c>
      <c r="EM215" s="102">
        <v>6.1196466215569361</v>
      </c>
      <c r="EN215" s="102">
        <v>0.89146137120951441</v>
      </c>
      <c r="EO215" s="102">
        <v>3.9057616966082991</v>
      </c>
      <c r="EP215" s="102">
        <v>0.69317258732421883</v>
      </c>
      <c r="EQ215" s="102">
        <v>0.80841022064957402</v>
      </c>
      <c r="ER215" s="102">
        <v>0.75984402701594778</v>
      </c>
      <c r="ES215" s="102">
        <v>0.26226654696397983</v>
      </c>
    </row>
    <row r="216" spans="1:205">
      <c r="A216" s="81" t="s">
        <v>1449</v>
      </c>
      <c r="C216" s="81" t="s">
        <v>1437</v>
      </c>
      <c r="E216" s="81" t="s">
        <v>1462</v>
      </c>
      <c r="F216" s="81" t="s">
        <v>130</v>
      </c>
      <c r="ET216" s="81">
        <v>49.07</v>
      </c>
      <c r="EU216" s="81">
        <v>3.6629999999999998</v>
      </c>
      <c r="EV216" s="81">
        <v>12.63</v>
      </c>
      <c r="EW216" s="81">
        <v>15.86</v>
      </c>
      <c r="EX216" s="81">
        <v>0.20399999999999999</v>
      </c>
      <c r="EY216" s="81">
        <v>4.75</v>
      </c>
      <c r="EZ216" s="81">
        <v>9.06</v>
      </c>
      <c r="FA216" s="81">
        <v>2.62</v>
      </c>
      <c r="FB216" s="81">
        <v>0.78</v>
      </c>
      <c r="FC216" s="81">
        <v>0.33</v>
      </c>
      <c r="FD216" s="81">
        <v>1.62</v>
      </c>
      <c r="FE216" s="81">
        <v>37</v>
      </c>
      <c r="FF216" s="81">
        <v>2</v>
      </c>
      <c r="FG216" s="81">
        <v>478</v>
      </c>
      <c r="FH216" s="81">
        <v>90</v>
      </c>
      <c r="FI216" s="81">
        <v>42</v>
      </c>
      <c r="FJ216" s="81">
        <v>80</v>
      </c>
      <c r="FK216" s="81">
        <v>320</v>
      </c>
      <c r="FL216" s="81">
        <v>150</v>
      </c>
      <c r="FM216" s="81">
        <v>25</v>
      </c>
      <c r="FN216" s="81">
        <v>1.7</v>
      </c>
      <c r="FP216" s="81">
        <v>19</v>
      </c>
      <c r="FQ216" s="81">
        <v>264</v>
      </c>
      <c r="FR216" s="81">
        <v>44.6</v>
      </c>
      <c r="FS216" s="81">
        <v>267</v>
      </c>
      <c r="FT216" s="81">
        <v>30.5</v>
      </c>
      <c r="FW216" s="81">
        <v>0.1</v>
      </c>
      <c r="FX216" s="81">
        <v>20</v>
      </c>
      <c r="FY216" s="81">
        <v>0.2</v>
      </c>
      <c r="FZ216" s="81">
        <v>0.6</v>
      </c>
      <c r="GA216" s="81">
        <v>131</v>
      </c>
      <c r="GC216" s="81">
        <v>28.7</v>
      </c>
      <c r="GD216" s="81">
        <v>66.599999999999994</v>
      </c>
      <c r="GE216" s="81">
        <v>9.14</v>
      </c>
      <c r="GF216" s="81">
        <v>41</v>
      </c>
      <c r="GG216" s="81">
        <v>10</v>
      </c>
      <c r="GH216" s="81">
        <v>2.85</v>
      </c>
      <c r="GI216" s="81">
        <v>10.1</v>
      </c>
      <c r="GJ216" s="81">
        <v>1.58</v>
      </c>
      <c r="GK216" s="81">
        <v>9.56</v>
      </c>
      <c r="GL216" s="81">
        <v>1.87</v>
      </c>
      <c r="GM216" s="81">
        <v>5.01</v>
      </c>
      <c r="GN216" s="81">
        <v>0.69499999999999995</v>
      </c>
      <c r="GO216" s="81">
        <v>4.21</v>
      </c>
      <c r="GP216" s="81">
        <v>0.63400000000000001</v>
      </c>
      <c r="GQ216" s="81">
        <v>7.1</v>
      </c>
      <c r="GR216" s="81">
        <v>1.93</v>
      </c>
      <c r="GS216" s="81">
        <v>1.3</v>
      </c>
      <c r="GT216" s="81">
        <v>7.0000000000000007E-2</v>
      </c>
      <c r="GU216" s="81">
        <v>5</v>
      </c>
      <c r="GV216" s="81">
        <v>3.6</v>
      </c>
      <c r="GW216" s="81">
        <v>1.22</v>
      </c>
    </row>
    <row r="217" spans="1:205">
      <c r="A217" s="81" t="s">
        <v>1455</v>
      </c>
      <c r="C217" s="81" t="s">
        <v>1493</v>
      </c>
      <c r="E217" s="81" t="s">
        <v>1462</v>
      </c>
      <c r="F217" s="81" t="s">
        <v>130</v>
      </c>
      <c r="ET217" s="81">
        <v>51.72</v>
      </c>
      <c r="EU217" s="81">
        <v>0.95599999999999996</v>
      </c>
      <c r="EV217" s="81">
        <v>14.41</v>
      </c>
      <c r="EW217" s="81">
        <v>10.220000000000001</v>
      </c>
      <c r="EX217" s="81">
        <v>0.13800000000000001</v>
      </c>
      <c r="EY217" s="81">
        <v>6.37</v>
      </c>
      <c r="EZ217" s="81">
        <v>9.6199999999999992</v>
      </c>
      <c r="FA217" s="81">
        <v>2.5499999999999998</v>
      </c>
      <c r="FB217" s="81">
        <v>0.72</v>
      </c>
      <c r="FC217" s="81">
        <v>7.0000000000000007E-2</v>
      </c>
      <c r="FD217" s="81">
        <v>3.55</v>
      </c>
      <c r="FE217" s="81">
        <v>46</v>
      </c>
      <c r="FG217" s="81">
        <v>318</v>
      </c>
      <c r="FH217" s="81">
        <v>280</v>
      </c>
      <c r="FI217" s="81">
        <v>46</v>
      </c>
      <c r="FJ217" s="81">
        <v>130</v>
      </c>
      <c r="FK217" s="81">
        <v>200</v>
      </c>
      <c r="FL217" s="81">
        <v>90</v>
      </c>
      <c r="FM217" s="81">
        <v>18</v>
      </c>
      <c r="FN217" s="81">
        <v>1.6</v>
      </c>
      <c r="FP217" s="81">
        <v>22</v>
      </c>
      <c r="FQ217" s="81">
        <v>79</v>
      </c>
      <c r="FR217" s="81">
        <v>25.2</v>
      </c>
      <c r="FS217" s="81">
        <v>87</v>
      </c>
      <c r="FT217" s="81">
        <v>7.2</v>
      </c>
      <c r="FW217" s="81">
        <v>0.1</v>
      </c>
      <c r="FX217" s="81">
        <v>9</v>
      </c>
      <c r="FZ217" s="81">
        <v>1</v>
      </c>
      <c r="GA217" s="81">
        <v>71</v>
      </c>
      <c r="GC217" s="81">
        <v>12.1</v>
      </c>
      <c r="GD217" s="81">
        <v>26.5</v>
      </c>
      <c r="GE217" s="81">
        <v>3.15</v>
      </c>
      <c r="GF217" s="81">
        <v>12.9</v>
      </c>
      <c r="GG217" s="81">
        <v>3.42</v>
      </c>
      <c r="GH217" s="81">
        <v>0.98899999999999999</v>
      </c>
      <c r="GI217" s="81">
        <v>3.93</v>
      </c>
      <c r="GJ217" s="81">
        <v>0.7</v>
      </c>
      <c r="GK217" s="81">
        <v>4.5999999999999996</v>
      </c>
      <c r="GL217" s="81">
        <v>0.98</v>
      </c>
      <c r="GM217" s="81">
        <v>2.89</v>
      </c>
      <c r="GN217" s="81">
        <v>0.437</v>
      </c>
      <c r="GO217" s="81">
        <v>2.83</v>
      </c>
      <c r="GP217" s="81">
        <v>0.439</v>
      </c>
      <c r="GQ217" s="81">
        <v>2.2999999999999998</v>
      </c>
      <c r="GR217" s="81">
        <v>0.36</v>
      </c>
      <c r="GS217" s="81">
        <v>1</v>
      </c>
      <c r="GT217" s="81">
        <v>0.12</v>
      </c>
      <c r="GV217" s="81">
        <v>2.48</v>
      </c>
      <c r="GW217" s="81">
        <v>0.73</v>
      </c>
    </row>
    <row r="218" spans="1:205">
      <c r="A218" s="81" t="s">
        <v>1454</v>
      </c>
      <c r="C218" s="81" t="s">
        <v>1440</v>
      </c>
      <c r="E218" s="81" t="s">
        <v>1462</v>
      </c>
      <c r="F218" s="81" t="s">
        <v>130</v>
      </c>
      <c r="ET218" s="81">
        <v>63.87</v>
      </c>
      <c r="EU218" s="81">
        <v>0.85399999999999998</v>
      </c>
      <c r="EV218" s="81">
        <v>5.87</v>
      </c>
      <c r="EW218" s="81">
        <v>5.64</v>
      </c>
      <c r="EX218" s="81">
        <v>9.5000000000000001E-2</v>
      </c>
      <c r="EY218" s="81">
        <v>1.7</v>
      </c>
      <c r="EZ218" s="81">
        <v>2.64</v>
      </c>
      <c r="FA218" s="81">
        <v>2.46</v>
      </c>
      <c r="FB218" s="81">
        <v>0.49</v>
      </c>
      <c r="FC218" s="81">
        <v>0.17</v>
      </c>
      <c r="FD218" s="81">
        <v>14.3</v>
      </c>
      <c r="FE218" s="81">
        <v>16</v>
      </c>
      <c r="FG218" s="81">
        <v>181</v>
      </c>
      <c r="FH218" s="81">
        <v>80</v>
      </c>
      <c r="FI218" s="81">
        <v>19</v>
      </c>
      <c r="FJ218" s="81">
        <v>40</v>
      </c>
      <c r="FK218" s="81">
        <v>80</v>
      </c>
      <c r="FL218" s="81">
        <v>130</v>
      </c>
      <c r="FM218" s="81">
        <v>10</v>
      </c>
      <c r="FN218" s="81">
        <v>0.7</v>
      </c>
      <c r="FP218" s="81">
        <v>16</v>
      </c>
      <c r="FQ218" s="81">
        <v>150</v>
      </c>
      <c r="FR218" s="81">
        <v>17.7</v>
      </c>
      <c r="FS218" s="81">
        <v>63</v>
      </c>
      <c r="FT218" s="81">
        <v>6.8</v>
      </c>
      <c r="FU218" s="81">
        <v>25</v>
      </c>
      <c r="FX218" s="81">
        <v>4</v>
      </c>
      <c r="FY218" s="81">
        <v>0.2</v>
      </c>
      <c r="FZ218" s="81">
        <v>0.9</v>
      </c>
      <c r="GA218" s="81">
        <v>1422</v>
      </c>
      <c r="GC218" s="81">
        <v>14.1</v>
      </c>
      <c r="GD218" s="81">
        <v>31.2</v>
      </c>
      <c r="GE218" s="81">
        <v>3.75</v>
      </c>
      <c r="GF218" s="81">
        <v>15.8</v>
      </c>
      <c r="GG218" s="81">
        <v>3.57</v>
      </c>
      <c r="GH218" s="81">
        <v>0.94699999999999995</v>
      </c>
      <c r="GI218" s="81">
        <v>3.48</v>
      </c>
      <c r="GJ218" s="81">
        <v>0.54</v>
      </c>
      <c r="GK218" s="81">
        <v>3.32</v>
      </c>
      <c r="GL218" s="81">
        <v>0.65</v>
      </c>
      <c r="GM218" s="81">
        <v>1.79</v>
      </c>
      <c r="GN218" s="81">
        <v>0.249</v>
      </c>
      <c r="GO218" s="81">
        <v>1.64</v>
      </c>
      <c r="GP218" s="81">
        <v>0.253</v>
      </c>
      <c r="GQ218" s="81">
        <v>1.5</v>
      </c>
      <c r="GR218" s="81">
        <v>0.38</v>
      </c>
      <c r="GS218" s="81">
        <v>0.8</v>
      </c>
      <c r="GT218" s="81">
        <v>7.0000000000000007E-2</v>
      </c>
      <c r="GU218" s="81">
        <v>6</v>
      </c>
      <c r="GV218" s="81">
        <v>2.0699999999999998</v>
      </c>
      <c r="GW218" s="81">
        <v>5.67</v>
      </c>
    </row>
    <row r="219" spans="1:205">
      <c r="A219" s="81" t="s">
        <v>1450</v>
      </c>
      <c r="C219" s="81" t="s">
        <v>1436</v>
      </c>
      <c r="E219" s="81" t="s">
        <v>1462</v>
      </c>
      <c r="F219" s="81" t="s">
        <v>130</v>
      </c>
      <c r="ET219" s="81">
        <v>49.36</v>
      </c>
      <c r="EU219" s="81">
        <v>2.3180000000000001</v>
      </c>
      <c r="EV219" s="81">
        <v>13.33</v>
      </c>
      <c r="EW219" s="81">
        <v>11.76</v>
      </c>
      <c r="EX219" s="81">
        <v>0.16900000000000001</v>
      </c>
      <c r="EY219" s="81">
        <v>4.8099999999999996</v>
      </c>
      <c r="EZ219" s="81">
        <v>7.52</v>
      </c>
      <c r="FA219" s="81">
        <v>2.2000000000000002</v>
      </c>
      <c r="FB219" s="81">
        <v>0.78</v>
      </c>
      <c r="FC219" s="81">
        <v>0.24</v>
      </c>
      <c r="FD219" s="81">
        <v>7.19</v>
      </c>
      <c r="FE219" s="81">
        <v>29</v>
      </c>
      <c r="FF219" s="81">
        <v>2</v>
      </c>
      <c r="FG219" s="81">
        <v>290</v>
      </c>
      <c r="FH219" s="81">
        <v>480</v>
      </c>
      <c r="FI219" s="81">
        <v>44</v>
      </c>
      <c r="FJ219" s="81">
        <v>170</v>
      </c>
      <c r="FK219" s="81">
        <v>140</v>
      </c>
      <c r="FL219" s="81">
        <v>100</v>
      </c>
      <c r="FM219" s="81">
        <v>21</v>
      </c>
      <c r="FN219" s="81">
        <v>1.4</v>
      </c>
      <c r="FP219" s="81">
        <v>20</v>
      </c>
      <c r="FQ219" s="81">
        <v>272</v>
      </c>
      <c r="FR219" s="81">
        <v>28</v>
      </c>
      <c r="FS219" s="81">
        <v>183</v>
      </c>
      <c r="FT219" s="81">
        <v>22.7</v>
      </c>
      <c r="FU219" s="81">
        <v>2</v>
      </c>
      <c r="FW219" s="81">
        <v>0.1</v>
      </c>
      <c r="FX219" s="81">
        <v>8</v>
      </c>
      <c r="FZ219" s="81">
        <v>0.6</v>
      </c>
      <c r="GA219" s="81">
        <v>193</v>
      </c>
      <c r="GC219" s="81">
        <v>23.2</v>
      </c>
      <c r="GD219" s="81">
        <v>53</v>
      </c>
      <c r="GE219" s="81">
        <v>6.93</v>
      </c>
      <c r="GF219" s="81">
        <v>30</v>
      </c>
      <c r="GG219" s="81">
        <v>7.23</v>
      </c>
      <c r="GH219" s="81">
        <v>2.2000000000000002</v>
      </c>
      <c r="GI219" s="81">
        <v>6.8</v>
      </c>
      <c r="GJ219" s="81">
        <v>1.08</v>
      </c>
      <c r="GK219" s="81">
        <v>6.16</v>
      </c>
      <c r="GL219" s="81">
        <v>1.1399999999999999</v>
      </c>
      <c r="GM219" s="81">
        <v>3.02</v>
      </c>
      <c r="GN219" s="81">
        <v>0.40400000000000003</v>
      </c>
      <c r="GO219" s="81">
        <v>2.36</v>
      </c>
      <c r="GP219" s="81">
        <v>0.34200000000000003</v>
      </c>
      <c r="GQ219" s="81">
        <v>4.7</v>
      </c>
      <c r="GR219" s="81">
        <v>1.07</v>
      </c>
      <c r="GS219" s="81">
        <v>1.2</v>
      </c>
      <c r="GT219" s="81">
        <v>0.08</v>
      </c>
      <c r="GV219" s="81">
        <v>3.57</v>
      </c>
      <c r="GW219" s="81">
        <v>2.19</v>
      </c>
    </row>
    <row r="220" spans="1:205">
      <c r="A220" s="81" t="s">
        <v>1451</v>
      </c>
      <c r="C220" s="81" t="s">
        <v>1438</v>
      </c>
      <c r="E220" s="81" t="s">
        <v>1462</v>
      </c>
      <c r="F220" s="81" t="s">
        <v>130</v>
      </c>
      <c r="ET220" s="81">
        <v>52.24</v>
      </c>
      <c r="EU220" s="81">
        <v>1.9590000000000001</v>
      </c>
      <c r="EV220" s="81">
        <v>12.7</v>
      </c>
      <c r="EW220" s="81">
        <v>10.78</v>
      </c>
      <c r="EX220" s="81">
        <v>0.14099999999999999</v>
      </c>
      <c r="EY220" s="81">
        <v>5.9</v>
      </c>
      <c r="EZ220" s="81">
        <v>9.0399999999999991</v>
      </c>
      <c r="FA220" s="81">
        <v>1.97</v>
      </c>
      <c r="FB220" s="81">
        <v>0.63</v>
      </c>
      <c r="FC220" s="81">
        <v>0.2</v>
      </c>
      <c r="FD220" s="81">
        <v>3.27</v>
      </c>
      <c r="FE220" s="81">
        <v>37</v>
      </c>
      <c r="FF220" s="81">
        <v>1</v>
      </c>
      <c r="FG220" s="81">
        <v>324</v>
      </c>
      <c r="FH220" s="81">
        <v>210</v>
      </c>
      <c r="FI220" s="81">
        <v>45</v>
      </c>
      <c r="FJ220" s="81">
        <v>90</v>
      </c>
      <c r="FK220" s="81">
        <v>150</v>
      </c>
      <c r="FL220" s="81">
        <v>120</v>
      </c>
      <c r="FM220" s="81">
        <v>19</v>
      </c>
      <c r="FN220" s="81">
        <v>1.5</v>
      </c>
      <c r="FO220" s="81">
        <v>8</v>
      </c>
      <c r="FP220" s="81">
        <v>17</v>
      </c>
      <c r="FQ220" s="81">
        <v>228</v>
      </c>
      <c r="FR220" s="81">
        <v>31.2</v>
      </c>
      <c r="FS220" s="81">
        <v>166</v>
      </c>
      <c r="FT220" s="81">
        <v>20.399999999999999</v>
      </c>
      <c r="FV220" s="81">
        <v>0.9</v>
      </c>
      <c r="FW220" s="81">
        <v>0.1</v>
      </c>
      <c r="FX220" s="81">
        <v>12</v>
      </c>
      <c r="FY220" s="81">
        <v>0.2</v>
      </c>
      <c r="FZ220" s="81">
        <v>0.6</v>
      </c>
      <c r="GA220" s="81">
        <v>210</v>
      </c>
      <c r="GC220" s="81">
        <v>25</v>
      </c>
      <c r="GD220" s="81">
        <v>50.7</v>
      </c>
      <c r="GE220" s="81">
        <v>6.72</v>
      </c>
      <c r="GF220" s="81">
        <v>27.8</v>
      </c>
      <c r="GG220" s="81">
        <v>6.62</v>
      </c>
      <c r="GH220" s="81">
        <v>1.93</v>
      </c>
      <c r="GI220" s="81">
        <v>6.75</v>
      </c>
      <c r="GJ220" s="81">
        <v>1.0900000000000001</v>
      </c>
      <c r="GK220" s="81">
        <v>6.53</v>
      </c>
      <c r="GL220" s="81">
        <v>1.27</v>
      </c>
      <c r="GM220" s="81">
        <v>3.47</v>
      </c>
      <c r="GN220" s="81">
        <v>0.47299999999999998</v>
      </c>
      <c r="GO220" s="81">
        <v>3.02</v>
      </c>
      <c r="GP220" s="81">
        <v>0.48299999999999998</v>
      </c>
      <c r="GQ220" s="81">
        <v>4.4000000000000004</v>
      </c>
      <c r="GR220" s="81">
        <v>1.18</v>
      </c>
      <c r="GS220" s="81">
        <v>8.3000000000000007</v>
      </c>
      <c r="GT220" s="81">
        <v>0.19</v>
      </c>
      <c r="GU220" s="81">
        <v>7</v>
      </c>
      <c r="GV220" s="81">
        <v>3.27</v>
      </c>
      <c r="GW220" s="81">
        <v>1.66</v>
      </c>
    </row>
    <row r="221" spans="1:205">
      <c r="A221" s="81" t="s">
        <v>1453</v>
      </c>
      <c r="C221" s="81" t="s">
        <v>1439</v>
      </c>
      <c r="E221" s="81" t="s">
        <v>1462</v>
      </c>
      <c r="F221" s="81" t="s">
        <v>130</v>
      </c>
      <c r="ET221" s="81">
        <v>55.37</v>
      </c>
      <c r="EU221" s="81">
        <v>1.3149999999999999</v>
      </c>
      <c r="EV221" s="81">
        <v>12.93</v>
      </c>
      <c r="EW221" s="81">
        <v>8.84</v>
      </c>
      <c r="EX221" s="81">
        <v>9.9000000000000005E-2</v>
      </c>
      <c r="EY221" s="81">
        <v>4.72</v>
      </c>
      <c r="EZ221" s="81">
        <v>4.45</v>
      </c>
      <c r="FA221" s="81">
        <v>2.0699999999999998</v>
      </c>
      <c r="FB221" s="81">
        <v>1.68</v>
      </c>
      <c r="FC221" s="81">
        <v>0.15</v>
      </c>
      <c r="FD221" s="81">
        <v>9.09</v>
      </c>
      <c r="FE221" s="81">
        <v>30</v>
      </c>
      <c r="FF221" s="81">
        <v>2</v>
      </c>
      <c r="FG221" s="81">
        <v>280</v>
      </c>
      <c r="FH221" s="81">
        <v>160</v>
      </c>
      <c r="FI221" s="81">
        <v>38</v>
      </c>
      <c r="FJ221" s="81">
        <v>60</v>
      </c>
      <c r="FK221" s="81">
        <v>100</v>
      </c>
      <c r="FL221" s="81">
        <v>90</v>
      </c>
      <c r="FM221" s="81">
        <v>19</v>
      </c>
      <c r="FN221" s="81">
        <v>1.3</v>
      </c>
      <c r="FO221" s="81">
        <v>8</v>
      </c>
      <c r="FP221" s="81">
        <v>60</v>
      </c>
      <c r="FQ221" s="81">
        <v>138</v>
      </c>
      <c r="FR221" s="81">
        <v>30.3</v>
      </c>
      <c r="FS221" s="81">
        <v>175</v>
      </c>
      <c r="FT221" s="81">
        <v>20.6</v>
      </c>
      <c r="FW221" s="81">
        <v>0.1</v>
      </c>
      <c r="FX221" s="81">
        <v>5</v>
      </c>
      <c r="FZ221" s="81">
        <v>2.6</v>
      </c>
      <c r="GA221" s="81">
        <v>188</v>
      </c>
      <c r="GC221" s="81">
        <v>34</v>
      </c>
      <c r="GD221" s="81">
        <v>69.8</v>
      </c>
      <c r="GE221" s="81">
        <v>8.15</v>
      </c>
      <c r="GF221" s="81">
        <v>32.299999999999997</v>
      </c>
      <c r="GG221" s="81">
        <v>6.78</v>
      </c>
      <c r="GH221" s="81">
        <v>1.64</v>
      </c>
      <c r="GI221" s="81">
        <v>6.16</v>
      </c>
      <c r="GJ221" s="81">
        <v>0.96</v>
      </c>
      <c r="GK221" s="81">
        <v>5.83</v>
      </c>
      <c r="GL221" s="81">
        <v>1.17</v>
      </c>
      <c r="GM221" s="81">
        <v>3.19</v>
      </c>
      <c r="GN221" s="81">
        <v>0.45400000000000001</v>
      </c>
      <c r="GO221" s="81">
        <v>2.98</v>
      </c>
      <c r="GP221" s="81">
        <v>0.45200000000000001</v>
      </c>
      <c r="GQ221" s="81">
        <v>4.4000000000000004</v>
      </c>
      <c r="GR221" s="81">
        <v>1.17</v>
      </c>
      <c r="GS221" s="81">
        <v>1.5</v>
      </c>
      <c r="GT221" s="81">
        <v>0.22</v>
      </c>
      <c r="GU221" s="81">
        <v>9</v>
      </c>
      <c r="GV221" s="81">
        <v>6.1</v>
      </c>
      <c r="GW221" s="81">
        <v>2.0499999999999998</v>
      </c>
    </row>
    <row r="222" spans="1:205">
      <c r="A222" s="81" t="s">
        <v>1456</v>
      </c>
      <c r="C222" s="81" t="s">
        <v>1441</v>
      </c>
      <c r="E222" s="81" t="s">
        <v>1462</v>
      </c>
      <c r="F222" s="81" t="s">
        <v>130</v>
      </c>
      <c r="ET222" s="81">
        <v>50.32</v>
      </c>
      <c r="EU222" s="81">
        <v>0.98299999999999998</v>
      </c>
      <c r="EV222" s="81">
        <v>14.05</v>
      </c>
      <c r="EW222" s="81">
        <v>12.1</v>
      </c>
      <c r="EX222" s="81">
        <v>0.18099999999999999</v>
      </c>
      <c r="EY222" s="81">
        <v>6.65</v>
      </c>
      <c r="EZ222" s="81">
        <v>11.38</v>
      </c>
      <c r="FA222" s="81">
        <v>2.0499999999999998</v>
      </c>
      <c r="FB222" s="81">
        <v>0.37</v>
      </c>
      <c r="FC222" s="81">
        <v>0.08</v>
      </c>
      <c r="FD222" s="81">
        <v>1.55</v>
      </c>
      <c r="FE222" s="81">
        <v>50</v>
      </c>
      <c r="FG222" s="81">
        <v>331</v>
      </c>
      <c r="FH222" s="81">
        <v>300</v>
      </c>
      <c r="FI222" s="81">
        <v>49</v>
      </c>
      <c r="FJ222" s="81">
        <v>100</v>
      </c>
      <c r="FK222" s="81">
        <v>160</v>
      </c>
      <c r="FL222" s="81">
        <v>130</v>
      </c>
      <c r="FM222" s="81">
        <v>18</v>
      </c>
      <c r="FN222" s="81">
        <v>1.6</v>
      </c>
      <c r="FO222" s="81">
        <v>8</v>
      </c>
      <c r="FP222" s="81">
        <v>12</v>
      </c>
      <c r="FQ222" s="81">
        <v>76</v>
      </c>
      <c r="FR222" s="81">
        <v>27.2</v>
      </c>
      <c r="FS222" s="81">
        <v>78</v>
      </c>
      <c r="FT222" s="81">
        <v>5.3</v>
      </c>
      <c r="FW222" s="81">
        <v>0.1</v>
      </c>
      <c r="FX222" s="81">
        <v>15</v>
      </c>
      <c r="FZ222" s="81">
        <v>0.6</v>
      </c>
      <c r="GA222" s="81">
        <v>52</v>
      </c>
      <c r="GC222" s="81">
        <v>8.67</v>
      </c>
      <c r="GD222" s="81">
        <v>18.899999999999999</v>
      </c>
      <c r="GE222" s="81">
        <v>2.37</v>
      </c>
      <c r="GF222" s="81">
        <v>10.9</v>
      </c>
      <c r="GG222" s="81">
        <v>2.95</v>
      </c>
      <c r="GH222" s="81">
        <v>0.95799999999999996</v>
      </c>
      <c r="GI222" s="81">
        <v>3.81</v>
      </c>
      <c r="GJ222" s="81">
        <v>0.72</v>
      </c>
      <c r="GK222" s="81">
        <v>4.95</v>
      </c>
      <c r="GL222" s="81">
        <v>1.04</v>
      </c>
      <c r="GM222" s="81">
        <v>3.13</v>
      </c>
      <c r="GN222" s="81">
        <v>0.46</v>
      </c>
      <c r="GO222" s="81">
        <v>3.15</v>
      </c>
      <c r="GP222" s="81">
        <v>0.498</v>
      </c>
      <c r="GQ222" s="81">
        <v>2.2999999999999998</v>
      </c>
      <c r="GR222" s="81">
        <v>0.31</v>
      </c>
      <c r="GS222" s="81">
        <v>1.3</v>
      </c>
      <c r="GT222" s="81">
        <v>7.0000000000000007E-2</v>
      </c>
      <c r="GV222" s="81">
        <v>2.35</v>
      </c>
      <c r="GW222" s="81">
        <v>0.4</v>
      </c>
    </row>
    <row r="223" spans="1:205">
      <c r="A223" s="81" t="s">
        <v>1452</v>
      </c>
      <c r="C223" s="81" t="s">
        <v>1494</v>
      </c>
      <c r="E223" s="81" t="s">
        <v>1462</v>
      </c>
      <c r="F223" s="81" t="s">
        <v>130</v>
      </c>
      <c r="ET223" s="81">
        <v>50.89</v>
      </c>
      <c r="EU223" s="81">
        <v>2.2559999999999998</v>
      </c>
      <c r="EV223" s="81">
        <v>13.53</v>
      </c>
      <c r="EW223" s="81">
        <v>11.18</v>
      </c>
      <c r="EX223" s="81">
        <v>0.156</v>
      </c>
      <c r="EY223" s="81">
        <v>4.46</v>
      </c>
      <c r="EZ223" s="81">
        <v>7.47</v>
      </c>
      <c r="FA223" s="81">
        <v>2.5</v>
      </c>
      <c r="FB223" s="81">
        <v>0.89</v>
      </c>
      <c r="FC223" s="81">
        <v>0.17</v>
      </c>
      <c r="FD223" s="81">
        <v>6.18</v>
      </c>
      <c r="FE223" s="81">
        <v>31</v>
      </c>
      <c r="FF223" s="81">
        <v>1</v>
      </c>
      <c r="FG223" s="81">
        <v>343</v>
      </c>
      <c r="FH223" s="81">
        <v>150</v>
      </c>
      <c r="FI223" s="81">
        <v>40</v>
      </c>
      <c r="FJ223" s="81">
        <v>70</v>
      </c>
      <c r="FK223" s="81">
        <v>190</v>
      </c>
      <c r="FL223" s="81">
        <v>100</v>
      </c>
      <c r="FM223" s="81">
        <v>22</v>
      </c>
      <c r="FN223" s="81">
        <v>1.5</v>
      </c>
      <c r="FO223" s="81">
        <v>7</v>
      </c>
      <c r="FP223" s="81">
        <v>28</v>
      </c>
      <c r="FQ223" s="81">
        <v>231</v>
      </c>
      <c r="FR223" s="81">
        <v>24.6</v>
      </c>
      <c r="FS223" s="81">
        <v>161</v>
      </c>
      <c r="FT223" s="81">
        <v>18.5</v>
      </c>
      <c r="FU223" s="81">
        <v>2</v>
      </c>
      <c r="FV223" s="81">
        <v>2</v>
      </c>
      <c r="FW223" s="81">
        <v>0.1</v>
      </c>
      <c r="FX223" s="81">
        <v>8</v>
      </c>
      <c r="FZ223" s="81">
        <v>1.4</v>
      </c>
      <c r="GA223" s="81">
        <v>134</v>
      </c>
      <c r="GB223" s="81">
        <v>0.1</v>
      </c>
      <c r="GC223" s="81">
        <v>18.2</v>
      </c>
      <c r="GD223" s="81">
        <v>42.5</v>
      </c>
      <c r="GE223" s="81">
        <v>5.45</v>
      </c>
      <c r="GF223" s="81">
        <v>22.9</v>
      </c>
      <c r="GG223" s="81">
        <v>5.62</v>
      </c>
      <c r="GH223" s="81">
        <v>1.71</v>
      </c>
      <c r="GI223" s="81">
        <v>5.42</v>
      </c>
      <c r="GJ223" s="81">
        <v>0.89</v>
      </c>
      <c r="GK223" s="81">
        <v>5.21</v>
      </c>
      <c r="GL223" s="81">
        <v>1.01</v>
      </c>
      <c r="GM223" s="81">
        <v>2.69</v>
      </c>
      <c r="GN223" s="81">
        <v>0.377</v>
      </c>
      <c r="GO223" s="81">
        <v>2.3199999999999998</v>
      </c>
      <c r="GP223" s="81">
        <v>0.32800000000000001</v>
      </c>
      <c r="GQ223" s="81">
        <v>4.4000000000000004</v>
      </c>
      <c r="GR223" s="81">
        <v>1</v>
      </c>
      <c r="GS223" s="81">
        <v>1.5</v>
      </c>
      <c r="GT223" s="81">
        <v>0.08</v>
      </c>
      <c r="GV223" s="81">
        <v>2.94</v>
      </c>
      <c r="GW223" s="81">
        <v>1.34</v>
      </c>
    </row>
    <row r="224" spans="1:205">
      <c r="A224" s="81" t="s">
        <v>1457</v>
      </c>
      <c r="C224" s="81" t="s">
        <v>1495</v>
      </c>
      <c r="E224" s="81" t="s">
        <v>1462</v>
      </c>
      <c r="F224" s="81" t="s">
        <v>130</v>
      </c>
      <c r="ET224" s="81">
        <v>48.81</v>
      </c>
      <c r="EU224" s="81">
        <v>2.9319999999999999</v>
      </c>
      <c r="EV224" s="81">
        <v>12.33</v>
      </c>
      <c r="EW224" s="81">
        <v>13.06</v>
      </c>
      <c r="EX224" s="81">
        <v>0.16600000000000001</v>
      </c>
      <c r="EY224" s="81">
        <v>4.54</v>
      </c>
      <c r="EZ224" s="81">
        <v>6.3</v>
      </c>
      <c r="FA224" s="81">
        <v>2.95</v>
      </c>
      <c r="FB224" s="81">
        <v>1.0900000000000001</v>
      </c>
      <c r="FC224" s="81">
        <v>0.42</v>
      </c>
      <c r="FD224" s="81">
        <v>5.27</v>
      </c>
      <c r="FE224" s="81">
        <v>30</v>
      </c>
      <c r="FF224" s="81">
        <v>2</v>
      </c>
      <c r="FG224" s="81">
        <v>363</v>
      </c>
      <c r="FH224" s="81">
        <v>80</v>
      </c>
      <c r="FI224" s="81">
        <v>47</v>
      </c>
      <c r="FJ224" s="81">
        <v>70</v>
      </c>
      <c r="FK224" s="81">
        <v>250</v>
      </c>
      <c r="FL224" s="81">
        <v>160</v>
      </c>
      <c r="FM224" s="81">
        <v>22</v>
      </c>
      <c r="FN224" s="81">
        <v>1.2</v>
      </c>
      <c r="FO224" s="81">
        <v>5</v>
      </c>
      <c r="FP224" s="81">
        <v>29</v>
      </c>
      <c r="FQ224" s="81">
        <v>279</v>
      </c>
      <c r="FR224" s="81">
        <v>42.7</v>
      </c>
      <c r="FS224" s="81">
        <v>217</v>
      </c>
      <c r="FT224" s="81">
        <v>23.8</v>
      </c>
      <c r="FU224" s="81">
        <v>3</v>
      </c>
      <c r="FW224" s="81">
        <v>0.1</v>
      </c>
      <c r="FX224" s="81">
        <v>6</v>
      </c>
      <c r="FY224" s="81">
        <v>0.5</v>
      </c>
      <c r="FZ224" s="81">
        <v>1.2</v>
      </c>
      <c r="GA224" s="81">
        <v>162</v>
      </c>
      <c r="GC224" s="81">
        <v>31.7</v>
      </c>
      <c r="GD224" s="81">
        <v>79.2</v>
      </c>
      <c r="GE224" s="81">
        <v>10.4</v>
      </c>
      <c r="GF224" s="81">
        <v>44.2</v>
      </c>
      <c r="GG224" s="81">
        <v>10.8</v>
      </c>
      <c r="GH224" s="81">
        <v>3.02</v>
      </c>
      <c r="GI224" s="81">
        <v>10.7</v>
      </c>
      <c r="GJ224" s="81">
        <v>1.54</v>
      </c>
      <c r="GK224" s="81">
        <v>9.0299999999999994</v>
      </c>
      <c r="GL224" s="81">
        <v>1.67</v>
      </c>
      <c r="GM224" s="81">
        <v>4.76</v>
      </c>
      <c r="GN224" s="81">
        <v>0.63300000000000001</v>
      </c>
      <c r="GO224" s="81">
        <v>3.81</v>
      </c>
      <c r="GP224" s="81">
        <v>0.55600000000000005</v>
      </c>
      <c r="GQ224" s="81">
        <v>5.5</v>
      </c>
      <c r="GR224" s="81">
        <v>1.6</v>
      </c>
      <c r="GS224" s="81">
        <v>1.6</v>
      </c>
      <c r="GT224" s="81">
        <v>0.1</v>
      </c>
      <c r="GU224" s="81">
        <v>10</v>
      </c>
      <c r="GV224" s="81">
        <v>3.98</v>
      </c>
      <c r="GW224" s="81">
        <v>1.71</v>
      </c>
    </row>
    <row r="225" spans="1:218">
      <c r="A225" s="81" t="s">
        <v>1459</v>
      </c>
      <c r="C225" s="81" t="s">
        <v>1496</v>
      </c>
      <c r="E225" s="81" t="s">
        <v>1462</v>
      </c>
      <c r="F225" s="81" t="s">
        <v>130</v>
      </c>
      <c r="ET225" s="81">
        <v>53.68</v>
      </c>
      <c r="EU225" s="81">
        <v>2.573</v>
      </c>
      <c r="EV225" s="81">
        <v>12.13</v>
      </c>
      <c r="EW225" s="81">
        <v>10.44</v>
      </c>
      <c r="EX225" s="81">
        <v>0.10199999999999999</v>
      </c>
      <c r="EY225" s="81">
        <v>3.56</v>
      </c>
      <c r="EZ225" s="81">
        <v>4.26</v>
      </c>
      <c r="FA225" s="81">
        <v>2.4900000000000002</v>
      </c>
      <c r="FB225" s="81">
        <v>1.55</v>
      </c>
      <c r="FC225" s="81">
        <v>0.26</v>
      </c>
      <c r="FD225" s="81">
        <v>8.44</v>
      </c>
      <c r="FE225" s="81">
        <v>28</v>
      </c>
      <c r="FF225" s="81">
        <v>2</v>
      </c>
      <c r="FG225" s="81">
        <v>375</v>
      </c>
      <c r="FH225" s="81">
        <v>80</v>
      </c>
      <c r="FI225" s="81">
        <v>24</v>
      </c>
      <c r="FJ225" s="81">
        <v>30</v>
      </c>
      <c r="FK225" s="81">
        <v>180</v>
      </c>
      <c r="FL225" s="81">
        <v>120</v>
      </c>
      <c r="FM225" s="81">
        <v>23</v>
      </c>
      <c r="FN225" s="81">
        <v>1.2</v>
      </c>
      <c r="FP225" s="81">
        <v>57</v>
      </c>
      <c r="FQ225" s="81">
        <v>212</v>
      </c>
      <c r="FR225" s="81">
        <v>33.9</v>
      </c>
      <c r="FS225" s="81">
        <v>244</v>
      </c>
      <c r="FT225" s="81">
        <v>27.5</v>
      </c>
      <c r="FW225" s="81">
        <v>0.1</v>
      </c>
      <c r="FX225" s="81">
        <v>6</v>
      </c>
      <c r="FY225" s="81">
        <v>0.3</v>
      </c>
      <c r="FZ225" s="81">
        <v>3.2</v>
      </c>
      <c r="GA225" s="81">
        <v>241</v>
      </c>
      <c r="GC225" s="81">
        <v>32.700000000000003</v>
      </c>
      <c r="GD225" s="81">
        <v>71.5</v>
      </c>
      <c r="GE225" s="81">
        <v>8.9499999999999993</v>
      </c>
      <c r="GF225" s="81">
        <v>36.5</v>
      </c>
      <c r="GG225" s="81">
        <v>7.89</v>
      </c>
      <c r="GH225" s="81">
        <v>2.09</v>
      </c>
      <c r="GI225" s="81">
        <v>7.3</v>
      </c>
      <c r="GJ225" s="81">
        <v>1.1299999999999999</v>
      </c>
      <c r="GK225" s="81">
        <v>6.88</v>
      </c>
      <c r="GL225" s="81">
        <v>1.33</v>
      </c>
      <c r="GM225" s="81">
        <v>3.61</v>
      </c>
      <c r="GN225" s="81">
        <v>0.51</v>
      </c>
      <c r="GO225" s="81">
        <v>3.22</v>
      </c>
      <c r="GP225" s="81">
        <v>0.49099999999999999</v>
      </c>
      <c r="GQ225" s="81">
        <v>6.1</v>
      </c>
      <c r="GR225" s="81">
        <v>1.71</v>
      </c>
      <c r="GS225" s="81">
        <v>3.5</v>
      </c>
      <c r="GT225" s="81">
        <v>0.13</v>
      </c>
      <c r="GU225" s="81">
        <v>6</v>
      </c>
      <c r="GV225" s="81">
        <v>5.32</v>
      </c>
      <c r="GW225" s="81">
        <v>2.63</v>
      </c>
    </row>
    <row r="226" spans="1:218">
      <c r="A226" s="81" t="s">
        <v>1458</v>
      </c>
      <c r="C226" s="81" t="s">
        <v>1442</v>
      </c>
      <c r="E226" s="81" t="s">
        <v>1462</v>
      </c>
      <c r="F226" s="81" t="s">
        <v>130</v>
      </c>
      <c r="ET226" s="81">
        <v>48.15</v>
      </c>
      <c r="EU226" s="81">
        <v>4.0919999999999996</v>
      </c>
      <c r="EV226" s="81">
        <v>12.57</v>
      </c>
      <c r="EW226" s="81">
        <v>14.77</v>
      </c>
      <c r="EX226" s="81">
        <v>0.192</v>
      </c>
      <c r="EY226" s="81">
        <v>4.6100000000000003</v>
      </c>
      <c r="EZ226" s="81">
        <v>8.67</v>
      </c>
      <c r="FA226" s="81">
        <v>2.74</v>
      </c>
      <c r="FB226" s="81">
        <v>0.89</v>
      </c>
      <c r="FC226" s="81">
        <v>0.53</v>
      </c>
      <c r="FD226" s="81">
        <v>3.16</v>
      </c>
      <c r="FE226" s="81">
        <v>32</v>
      </c>
      <c r="FF226" s="81">
        <v>2</v>
      </c>
      <c r="FG226" s="81">
        <v>433</v>
      </c>
      <c r="FH226" s="81">
        <v>60</v>
      </c>
      <c r="FI226" s="81">
        <v>53</v>
      </c>
      <c r="FJ226" s="81">
        <v>70</v>
      </c>
      <c r="FK226" s="81">
        <v>290</v>
      </c>
      <c r="FL226" s="81">
        <v>160</v>
      </c>
      <c r="FM226" s="81">
        <v>25</v>
      </c>
      <c r="FN226" s="81">
        <v>1.5</v>
      </c>
      <c r="FO226" s="81">
        <v>11</v>
      </c>
      <c r="FP226" s="81">
        <v>20</v>
      </c>
      <c r="FQ226" s="81">
        <v>374</v>
      </c>
      <c r="FR226" s="81">
        <v>57.7</v>
      </c>
      <c r="FS226" s="81">
        <v>325</v>
      </c>
      <c r="FT226" s="81">
        <v>43.8</v>
      </c>
      <c r="FU226" s="81">
        <v>4</v>
      </c>
      <c r="FW226" s="81">
        <v>0.1</v>
      </c>
      <c r="FX226" s="81">
        <v>14</v>
      </c>
      <c r="FY226" s="81">
        <v>0.4</v>
      </c>
      <c r="FZ226" s="81">
        <v>0.5</v>
      </c>
      <c r="GA226" s="81">
        <v>189</v>
      </c>
      <c r="GB226" s="81">
        <v>0.1</v>
      </c>
      <c r="GC226" s="81">
        <v>42.9</v>
      </c>
      <c r="GD226" s="81">
        <v>105</v>
      </c>
      <c r="GE226" s="81">
        <v>13.9</v>
      </c>
      <c r="GF226" s="81">
        <v>60.3</v>
      </c>
      <c r="GG226" s="81">
        <v>14.1</v>
      </c>
      <c r="GH226" s="81">
        <v>3.95</v>
      </c>
      <c r="GI226" s="81">
        <v>13.6</v>
      </c>
      <c r="GJ226" s="81">
        <v>2.11</v>
      </c>
      <c r="GK226" s="81">
        <v>12.2</v>
      </c>
      <c r="GL226" s="81">
        <v>2.35</v>
      </c>
      <c r="GM226" s="81">
        <v>6.27</v>
      </c>
      <c r="GN226" s="81">
        <v>0.80400000000000005</v>
      </c>
      <c r="GO226" s="81">
        <v>4.8099999999999996</v>
      </c>
      <c r="GP226" s="81">
        <v>0.73099999999999998</v>
      </c>
      <c r="GQ226" s="81">
        <v>8.4</v>
      </c>
      <c r="GR226" s="81">
        <v>2.61</v>
      </c>
      <c r="GS226" s="81">
        <v>1.9</v>
      </c>
      <c r="GT226" s="81">
        <v>0.12</v>
      </c>
      <c r="GU226" s="81">
        <v>5</v>
      </c>
      <c r="GV226" s="81">
        <v>4.2</v>
      </c>
      <c r="GW226" s="81">
        <v>1.85</v>
      </c>
    </row>
    <row r="227" spans="1:218">
      <c r="A227" s="81" t="s">
        <v>1460</v>
      </c>
      <c r="C227" s="81" t="s">
        <v>1443</v>
      </c>
      <c r="E227" s="81" t="s">
        <v>1462</v>
      </c>
      <c r="F227" s="81" t="s">
        <v>130</v>
      </c>
      <c r="ET227" s="81">
        <v>48.75</v>
      </c>
      <c r="EU227" s="81">
        <v>4.16</v>
      </c>
      <c r="EV227" s="81">
        <v>12.48</v>
      </c>
      <c r="EW227" s="81">
        <v>15.9</v>
      </c>
      <c r="EX227" s="81">
        <v>0.21</v>
      </c>
      <c r="EY227" s="81">
        <v>4.58</v>
      </c>
      <c r="EZ227" s="81">
        <v>8.57</v>
      </c>
      <c r="FA227" s="81">
        <v>2.57</v>
      </c>
      <c r="FB227" s="81">
        <v>1.02</v>
      </c>
      <c r="FC227" s="81">
        <v>0.54</v>
      </c>
      <c r="FD227" s="81">
        <v>2</v>
      </c>
      <c r="FE227" s="81">
        <v>31</v>
      </c>
      <c r="FF227" s="81">
        <v>3</v>
      </c>
      <c r="FG227" s="81">
        <v>426</v>
      </c>
      <c r="FH227" s="81">
        <v>40</v>
      </c>
      <c r="FI227" s="81">
        <v>50</v>
      </c>
      <c r="FJ227" s="81">
        <v>60</v>
      </c>
      <c r="FK227" s="81">
        <v>270</v>
      </c>
      <c r="FL227" s="81">
        <v>170</v>
      </c>
      <c r="FM227" s="81">
        <v>27</v>
      </c>
      <c r="FN227" s="81">
        <v>1.6</v>
      </c>
      <c r="FO227" s="81">
        <v>6</v>
      </c>
      <c r="FP227" s="81">
        <v>23</v>
      </c>
      <c r="FQ227" s="81">
        <v>358</v>
      </c>
      <c r="FR227" s="81">
        <v>53.9</v>
      </c>
      <c r="FS227" s="81">
        <v>342</v>
      </c>
      <c r="FT227" s="81">
        <v>41.3</v>
      </c>
      <c r="FU227" s="81">
        <v>3</v>
      </c>
      <c r="FW227" s="81">
        <v>0.1</v>
      </c>
      <c r="FX227" s="81">
        <v>12</v>
      </c>
      <c r="FY227" s="81">
        <v>0.2</v>
      </c>
      <c r="FZ227" s="81">
        <v>0.4</v>
      </c>
      <c r="GA227" s="81">
        <v>210</v>
      </c>
      <c r="GC227" s="81">
        <v>42.8</v>
      </c>
      <c r="GD227" s="81">
        <v>102</v>
      </c>
      <c r="GE227" s="81">
        <v>13.6</v>
      </c>
      <c r="GF227" s="81">
        <v>58.8</v>
      </c>
      <c r="GG227" s="81">
        <v>13.7</v>
      </c>
      <c r="GH227" s="81">
        <v>3.84</v>
      </c>
      <c r="GI227" s="81">
        <v>12.9</v>
      </c>
      <c r="GJ227" s="81">
        <v>2.0099999999999998</v>
      </c>
      <c r="GK227" s="81">
        <v>11.9</v>
      </c>
      <c r="GL227" s="81">
        <v>2.21</v>
      </c>
      <c r="GM227" s="81">
        <v>6</v>
      </c>
      <c r="GN227" s="81">
        <v>0.79500000000000004</v>
      </c>
      <c r="GO227" s="81">
        <v>4.95</v>
      </c>
      <c r="GP227" s="81">
        <v>0.72699999999999998</v>
      </c>
      <c r="GQ227" s="81">
        <v>8.9</v>
      </c>
      <c r="GR227" s="81">
        <v>2.5</v>
      </c>
      <c r="GS227" s="81">
        <v>3.6</v>
      </c>
      <c r="GT227" s="81">
        <v>0.08</v>
      </c>
      <c r="GU227" s="81">
        <v>10</v>
      </c>
      <c r="GV227" s="81">
        <v>4.21</v>
      </c>
      <c r="GW227" s="81">
        <v>1.53</v>
      </c>
    </row>
    <row r="228" spans="1:218">
      <c r="A228" s="81" t="s">
        <v>1461</v>
      </c>
      <c r="C228" s="81" t="s">
        <v>1444</v>
      </c>
      <c r="E228" s="81" t="s">
        <v>1462</v>
      </c>
      <c r="F228" s="81" t="s">
        <v>130</v>
      </c>
      <c r="ET228" s="81">
        <v>48.97</v>
      </c>
      <c r="EU228" s="81">
        <v>2.6419999999999999</v>
      </c>
      <c r="EV228" s="81">
        <v>13.44</v>
      </c>
      <c r="EW228" s="81">
        <v>13.91</v>
      </c>
      <c r="EX228" s="81">
        <v>0.183</v>
      </c>
      <c r="EY228" s="81">
        <v>5.23</v>
      </c>
      <c r="EZ228" s="81">
        <v>9.4700000000000006</v>
      </c>
      <c r="FA228" s="81">
        <v>2.4500000000000002</v>
      </c>
      <c r="FB228" s="81">
        <v>0.65</v>
      </c>
      <c r="FC228" s="81">
        <v>0.24</v>
      </c>
      <c r="FD228" s="81">
        <v>3.37</v>
      </c>
      <c r="FE228" s="81">
        <v>36</v>
      </c>
      <c r="FF228" s="81">
        <v>1</v>
      </c>
      <c r="FG228" s="81">
        <v>365</v>
      </c>
      <c r="FH228" s="81">
        <v>130</v>
      </c>
      <c r="FI228" s="81">
        <v>45</v>
      </c>
      <c r="FJ228" s="81">
        <v>70</v>
      </c>
      <c r="FK228" s="81">
        <v>260</v>
      </c>
      <c r="FL228" s="81">
        <v>140</v>
      </c>
      <c r="FM228" s="81">
        <v>22</v>
      </c>
      <c r="FN228" s="81">
        <v>1.4</v>
      </c>
      <c r="FO228" s="81">
        <v>5</v>
      </c>
      <c r="FP228" s="81">
        <v>13</v>
      </c>
      <c r="FQ228" s="81">
        <v>289</v>
      </c>
      <c r="FR228" s="81">
        <v>35.299999999999997</v>
      </c>
      <c r="FS228" s="81">
        <v>174</v>
      </c>
      <c r="FT228" s="81">
        <v>19.7</v>
      </c>
      <c r="FU228" s="81">
        <v>8</v>
      </c>
      <c r="FW228" s="81">
        <v>0.1</v>
      </c>
      <c r="FX228" s="81">
        <v>7</v>
      </c>
      <c r="FY228" s="81">
        <v>0.4</v>
      </c>
      <c r="FZ228" s="81">
        <v>0.4</v>
      </c>
      <c r="GA228" s="81">
        <v>117</v>
      </c>
      <c r="GC228" s="81">
        <v>18.3</v>
      </c>
      <c r="GD228" s="81">
        <v>44.6</v>
      </c>
      <c r="GE228" s="81">
        <v>6.07</v>
      </c>
      <c r="GF228" s="81">
        <v>28.4</v>
      </c>
      <c r="GG228" s="81">
        <v>7.21</v>
      </c>
      <c r="GH228" s="81">
        <v>2.2799999999999998</v>
      </c>
      <c r="GI228" s="81">
        <v>7.59</v>
      </c>
      <c r="GJ228" s="81">
        <v>1.2</v>
      </c>
      <c r="GK228" s="81">
        <v>7.3</v>
      </c>
      <c r="GL228" s="81">
        <v>1.42</v>
      </c>
      <c r="GM228" s="81">
        <v>3.71</v>
      </c>
      <c r="GN228" s="81">
        <v>0.52400000000000002</v>
      </c>
      <c r="GO228" s="81">
        <v>3.37</v>
      </c>
      <c r="GP228" s="81">
        <v>0.52400000000000002</v>
      </c>
      <c r="GQ228" s="81">
        <v>4.4000000000000004</v>
      </c>
      <c r="GR228" s="81">
        <v>1.1399999999999999</v>
      </c>
      <c r="GS228" s="81">
        <v>3</v>
      </c>
      <c r="GT228" s="81">
        <v>0.05</v>
      </c>
      <c r="GV228" s="81">
        <v>2.1800000000000002</v>
      </c>
      <c r="GW228" s="81">
        <v>2.1800000000000002</v>
      </c>
    </row>
    <row r="229" spans="1:218">
      <c r="A229" s="81" t="s">
        <v>769</v>
      </c>
      <c r="C229" s="81" t="s">
        <v>656</v>
      </c>
      <c r="E229" s="81" t="s">
        <v>129</v>
      </c>
      <c r="F229" s="81" t="s">
        <v>767</v>
      </c>
      <c r="GX229" s="102">
        <v>11.56423544605596</v>
      </c>
      <c r="GY229" s="102">
        <v>0.45536553310371075</v>
      </c>
      <c r="GZ229" s="102">
        <v>1.3096902252946603</v>
      </c>
      <c r="HA229" s="102">
        <v>0.15030613649626259</v>
      </c>
      <c r="HB229" s="102">
        <v>15.042449028938583</v>
      </c>
      <c r="HC229" s="102">
        <v>100.31386000000002</v>
      </c>
      <c r="HD229" s="102">
        <v>236.68196</v>
      </c>
      <c r="HE229" s="102">
        <v>101.34209866666667</v>
      </c>
      <c r="HF229" s="102">
        <v>77.26578099999999</v>
      </c>
      <c r="HG229" s="102">
        <v>77.534365333333298</v>
      </c>
      <c r="HH229" s="102">
        <v>12.894947999999999</v>
      </c>
      <c r="HI229" s="102">
        <v>74.828639999999993</v>
      </c>
      <c r="HJ229" s="102">
        <v>38.175081333333331</v>
      </c>
    </row>
    <row r="230" spans="1:218">
      <c r="A230" s="81" t="s">
        <v>770</v>
      </c>
      <c r="C230" s="81" t="s">
        <v>657</v>
      </c>
      <c r="E230" s="81" t="s">
        <v>763</v>
      </c>
      <c r="F230" s="81" t="s">
        <v>767</v>
      </c>
      <c r="GX230" s="81">
        <v>12.274407841237808</v>
      </c>
      <c r="GY230" s="81">
        <v>0.58570179005913969</v>
      </c>
      <c r="GZ230" s="81">
        <v>0.68880857403789664</v>
      </c>
      <c r="HA230" s="81">
        <v>7.9817830703003259E-2</v>
      </c>
      <c r="HB230" s="81">
        <v>12.260750179174098</v>
      </c>
      <c r="HC230" s="81">
        <v>999.66356500000018</v>
      </c>
      <c r="HD230" s="81">
        <v>3128.7578919999996</v>
      </c>
      <c r="HE230" s="81">
        <v>34.910254666666667</v>
      </c>
      <c r="HF230" s="81">
        <v>91.357064999999992</v>
      </c>
      <c r="HG230" s="81">
        <v>105.823696</v>
      </c>
      <c r="HH230" s="81">
        <v>13.415544666666667</v>
      </c>
      <c r="HI230" s="81">
        <v>54.951799999999999</v>
      </c>
      <c r="HJ230" s="81">
        <v>17.437438666666665</v>
      </c>
    </row>
    <row r="231" spans="1:218">
      <c r="A231" s="81" t="s">
        <v>771</v>
      </c>
      <c r="C231" s="81" t="s">
        <v>658</v>
      </c>
      <c r="E231" s="81" t="s">
        <v>763</v>
      </c>
      <c r="F231" s="81" t="s">
        <v>767</v>
      </c>
      <c r="GX231" s="81">
        <v>15.494472018663272</v>
      </c>
      <c r="GY231" s="81">
        <v>0.55921076056189278</v>
      </c>
      <c r="GZ231" s="81">
        <v>0.76555174050148311</v>
      </c>
      <c r="HA231" s="81">
        <v>0.1640575901993872</v>
      </c>
      <c r="HB231" s="81">
        <v>13.648622930651436</v>
      </c>
      <c r="HC231" s="81">
        <v>540.6658349999999</v>
      </c>
      <c r="HD231" s="81">
        <v>2380.0470799999998</v>
      </c>
      <c r="HE231" s="81">
        <v>30.503362666666664</v>
      </c>
      <c r="HF231" s="81">
        <v>88.47138933333332</v>
      </c>
      <c r="HG231" s="81">
        <v>128.30459999999997</v>
      </c>
      <c r="HH231" s="81">
        <v>13.443105666666668</v>
      </c>
      <c r="HI231" s="81">
        <v>57.096519999999998</v>
      </c>
      <c r="HJ231" s="81">
        <v>19.360093333333335</v>
      </c>
    </row>
    <row r="232" spans="1:218">
      <c r="A232" s="81" t="s">
        <v>772</v>
      </c>
      <c r="C232" s="81" t="s">
        <v>659</v>
      </c>
      <c r="E232" s="81" t="s">
        <v>764</v>
      </c>
      <c r="F232" s="81" t="s">
        <v>767</v>
      </c>
      <c r="GX232" s="81">
        <v>34.231095599686405</v>
      </c>
      <c r="GY232" s="81">
        <v>0.40430268256652901</v>
      </c>
      <c r="GZ232" s="81">
        <v>0.36436741732989325</v>
      </c>
      <c r="HA232" s="81">
        <v>0.43155103792920757</v>
      </c>
      <c r="HB232" s="81">
        <v>5.4911140684101705</v>
      </c>
      <c r="HC232" s="81">
        <v>151.64666500000001</v>
      </c>
      <c r="HD232" s="81">
        <v>896.76571199999989</v>
      </c>
      <c r="HF232" s="81">
        <v>12.506625666666665</v>
      </c>
      <c r="HG232" s="81">
        <v>112.84730666666667</v>
      </c>
      <c r="HI232" s="81">
        <v>26.987440000000003</v>
      </c>
      <c r="HJ232" s="81">
        <v>11.982750666666668</v>
      </c>
    </row>
    <row r="233" spans="1:218">
      <c r="A233" s="81" t="s">
        <v>773</v>
      </c>
      <c r="C233" s="81" t="s">
        <v>660</v>
      </c>
      <c r="E233" s="81" t="s">
        <v>129</v>
      </c>
      <c r="F233" s="81" t="s">
        <v>767</v>
      </c>
      <c r="GX233" s="81">
        <v>10.383495971573472</v>
      </c>
      <c r="GY233" s="81">
        <v>0.53131479813623672</v>
      </c>
      <c r="GZ233" s="81">
        <v>1.1780776144552405</v>
      </c>
      <c r="HA233" s="81">
        <v>0.16142500999364154</v>
      </c>
      <c r="HB233" s="81">
        <v>15.882666242222632</v>
      </c>
      <c r="HC233" s="81">
        <v>112.56357000000001</v>
      </c>
      <c r="HD233" s="81">
        <v>189.73859999999999</v>
      </c>
      <c r="HE233" s="81">
        <v>107.50384000000001</v>
      </c>
      <c r="HF233" s="81">
        <v>84.670743333333306</v>
      </c>
      <c r="HG233" s="81">
        <v>60.009730666666677</v>
      </c>
      <c r="HH233" s="81">
        <v>9.7376823333333338</v>
      </c>
      <c r="HI233" s="81">
        <v>72.567719999999994</v>
      </c>
      <c r="HJ233" s="81">
        <v>35.331026666666666</v>
      </c>
    </row>
    <row r="234" spans="1:218">
      <c r="A234" s="81" t="s">
        <v>774</v>
      </c>
      <c r="C234" s="81" t="s">
        <v>661</v>
      </c>
      <c r="E234" s="81" t="s">
        <v>129</v>
      </c>
      <c r="F234" s="81" t="s">
        <v>767</v>
      </c>
      <c r="GX234" s="81">
        <v>7.5193762552750298</v>
      </c>
      <c r="GY234" s="81">
        <v>0.80607582422862623</v>
      </c>
      <c r="GZ234" s="81">
        <v>0.89483518130815598</v>
      </c>
      <c r="HA234" s="81">
        <v>0.12848430629605023</v>
      </c>
      <c r="HB234" s="81">
        <v>17.63052608997231</v>
      </c>
      <c r="HC234" s="81">
        <v>110.78641</v>
      </c>
      <c r="HE234" s="81">
        <v>86.628128000000004</v>
      </c>
      <c r="HF234" s="81">
        <v>73.328074666666666</v>
      </c>
      <c r="HG234" s="81">
        <v>41.632938666666668</v>
      </c>
      <c r="HH234" s="81">
        <v>13.317550000000002</v>
      </c>
      <c r="HI234" s="81">
        <v>63.019399999999997</v>
      </c>
      <c r="HJ234" s="81">
        <v>32.339548000000001</v>
      </c>
    </row>
    <row r="235" spans="1:218">
      <c r="A235" s="81" t="s">
        <v>775</v>
      </c>
      <c r="C235" s="81" t="s">
        <v>662</v>
      </c>
      <c r="E235" s="81" t="s">
        <v>129</v>
      </c>
      <c r="F235" s="81" t="s">
        <v>767</v>
      </c>
      <c r="GX235" s="81">
        <v>11.1828768711789</v>
      </c>
      <c r="GY235" s="81">
        <v>0.32249218353902803</v>
      </c>
      <c r="GZ235" s="81">
        <v>1.3221050712787306</v>
      </c>
      <c r="HA235" s="81">
        <v>0.17678539266914206</v>
      </c>
      <c r="HB235" s="81">
        <v>15.603719348581658</v>
      </c>
      <c r="HC235" s="81">
        <v>92.111805000000004</v>
      </c>
      <c r="HD235" s="81">
        <v>206.204556</v>
      </c>
      <c r="HE235" s="81">
        <v>82.254690666666676</v>
      </c>
      <c r="HF235" s="81">
        <v>85.252323666666655</v>
      </c>
      <c r="HG235" s="81">
        <v>60.892458666666663</v>
      </c>
      <c r="HH235" s="81">
        <v>8.3014480000000006</v>
      </c>
      <c r="HI235" s="81">
        <v>71.495359999999991</v>
      </c>
      <c r="HJ235" s="81">
        <v>36.522704000000004</v>
      </c>
    </row>
    <row r="236" spans="1:218">
      <c r="A236" s="81" t="s">
        <v>776</v>
      </c>
      <c r="C236" s="81" t="s">
        <v>663</v>
      </c>
      <c r="E236" s="81" t="s">
        <v>129</v>
      </c>
      <c r="F236" s="81" t="s">
        <v>767</v>
      </c>
      <c r="GX236" s="81">
        <v>11.894080267429148</v>
      </c>
      <c r="GZ236" s="81">
        <v>1.2769390800796163</v>
      </c>
      <c r="HA236" s="81">
        <v>0.15649857147107146</v>
      </c>
      <c r="HB236" s="81">
        <v>14.458417582467419</v>
      </c>
      <c r="HC236" s="81">
        <v>95.596885</v>
      </c>
      <c r="HD236" s="81">
        <v>196.72643400000001</v>
      </c>
      <c r="HE236" s="81">
        <v>136.92569866666665</v>
      </c>
      <c r="HF236" s="81">
        <v>86.997064666666645</v>
      </c>
      <c r="HG236" s="81">
        <v>71.504301333333345</v>
      </c>
      <c r="HI236" s="81">
        <v>69.18795999999999</v>
      </c>
      <c r="HJ236" s="81">
        <v>33.067453999999998</v>
      </c>
    </row>
    <row r="237" spans="1:218">
      <c r="A237" s="81" t="s">
        <v>777</v>
      </c>
      <c r="C237" s="81" t="s">
        <v>664</v>
      </c>
      <c r="E237" s="81" t="s">
        <v>129</v>
      </c>
      <c r="F237" s="81" t="s">
        <v>767</v>
      </c>
      <c r="GX237" s="81">
        <v>7.424919700896627</v>
      </c>
      <c r="GY237" s="81">
        <v>0.57552553948356133</v>
      </c>
      <c r="GZ237" s="81">
        <v>0.98681493063797587</v>
      </c>
      <c r="HA237" s="81">
        <v>0.12756264590768715</v>
      </c>
      <c r="HB237" s="81">
        <v>15.720607371591546</v>
      </c>
      <c r="HC237" s="81">
        <v>77.063645000000008</v>
      </c>
      <c r="HD237" s="81">
        <v>183.39838399999999</v>
      </c>
      <c r="HE237" s="81">
        <v>132.38498799999999</v>
      </c>
      <c r="HF237" s="81">
        <v>77.673257666666643</v>
      </c>
      <c r="HG237" s="81">
        <v>28.521944000000001</v>
      </c>
      <c r="HH237" s="81">
        <v>9.6305006666666664</v>
      </c>
      <c r="HI237" s="81">
        <v>65.55919999999999</v>
      </c>
      <c r="HJ237" s="81">
        <v>30.085189333333336</v>
      </c>
    </row>
    <row r="238" spans="1:218">
      <c r="A238" s="81" t="s">
        <v>778</v>
      </c>
      <c r="C238" s="81" t="s">
        <v>665</v>
      </c>
      <c r="E238" s="81" t="s">
        <v>129</v>
      </c>
      <c r="F238" s="81" t="s">
        <v>767</v>
      </c>
      <c r="GX238" s="81">
        <v>5.414837709762633</v>
      </c>
      <c r="GY238" s="81">
        <v>0.55355410650259129</v>
      </c>
      <c r="GZ238" s="81">
        <v>0.54761707369383927</v>
      </c>
      <c r="HA238" s="81">
        <v>0.12036995209515228</v>
      </c>
      <c r="HB238" s="81">
        <v>13.430641068691116</v>
      </c>
      <c r="HC238" s="81">
        <v>201.31194000000002</v>
      </c>
      <c r="HD238" s="81">
        <v>168.28849</v>
      </c>
      <c r="HE238" s="81">
        <v>63.936740000000007</v>
      </c>
      <c r="HF238" s="81">
        <v>69.820070999999999</v>
      </c>
      <c r="HG238" s="81">
        <v>28.021349333333337</v>
      </c>
      <c r="HH238" s="81">
        <v>9.4191996666666657</v>
      </c>
      <c r="HI238" s="81">
        <v>37.163240000000002</v>
      </c>
      <c r="HJ238" s="81">
        <v>18.242127999999997</v>
      </c>
    </row>
    <row r="239" spans="1:218">
      <c r="A239" s="81" t="s">
        <v>779</v>
      </c>
      <c r="C239" s="81" t="s">
        <v>666</v>
      </c>
      <c r="E239" s="81" t="s">
        <v>129</v>
      </c>
      <c r="F239" s="81" t="s">
        <v>767</v>
      </c>
      <c r="H239" s="81" t="s">
        <v>211</v>
      </c>
      <c r="GX239" s="81">
        <v>9.8326756189018969</v>
      </c>
      <c r="GY239" s="81">
        <v>0.31782904198501355</v>
      </c>
      <c r="GZ239" s="81">
        <v>0.69177591959609952</v>
      </c>
      <c r="HA239" s="81">
        <v>0.14023571017163572</v>
      </c>
      <c r="HB239" s="81">
        <v>12.497613997721254</v>
      </c>
      <c r="HC239" s="81">
        <v>162.01824000000002</v>
      </c>
      <c r="HD239" s="81">
        <v>236.653336</v>
      </c>
      <c r="HE239" s="81">
        <v>84.806369333333336</v>
      </c>
      <c r="HF239" s="81">
        <v>62.385473999999995</v>
      </c>
      <c r="HG239" s="81">
        <v>55.374453333333349</v>
      </c>
      <c r="HH239" s="81">
        <v>8.5066243333333329</v>
      </c>
      <c r="HI239" s="81">
        <v>45.831759999999996</v>
      </c>
      <c r="HJ239" s="81">
        <v>21.371816666666671</v>
      </c>
    </row>
    <row r="240" spans="1:218">
      <c r="A240" s="81" t="s">
        <v>780</v>
      </c>
      <c r="C240" s="81" t="s">
        <v>667</v>
      </c>
      <c r="E240" s="81" t="s">
        <v>129</v>
      </c>
      <c r="F240" s="81" t="s">
        <v>767</v>
      </c>
      <c r="GX240" s="81">
        <v>6.5556798211683516</v>
      </c>
      <c r="GY240" s="81">
        <v>0.4239540359086833</v>
      </c>
      <c r="GZ240" s="81">
        <v>0.7746852722196399</v>
      </c>
      <c r="HA240" s="81">
        <v>0.12951825018350321</v>
      </c>
      <c r="HB240" s="81">
        <v>14.302159358530666</v>
      </c>
      <c r="HC240" s="81">
        <v>136.71102000000002</v>
      </c>
      <c r="HD240" s="81">
        <v>203.61050599999999</v>
      </c>
      <c r="HE240" s="81">
        <v>74.59053066666668</v>
      </c>
      <c r="HF240" s="81">
        <v>67.753052999999994</v>
      </c>
      <c r="HG240" s="81">
        <v>23.859917333333339</v>
      </c>
      <c r="HH240" s="81">
        <v>8.8036706666666671</v>
      </c>
      <c r="HI240" s="81">
        <v>46.236799999999995</v>
      </c>
      <c r="HJ240" s="81">
        <v>21.424029333333333</v>
      </c>
    </row>
    <row r="241" spans="1:218">
      <c r="A241" s="81" t="s">
        <v>781</v>
      </c>
      <c r="C241" s="81" t="s">
        <v>668</v>
      </c>
      <c r="E241" s="81" t="s">
        <v>129</v>
      </c>
      <c r="F241" s="81" t="s">
        <v>767</v>
      </c>
      <c r="GX241" s="81">
        <v>6.1432468490552425</v>
      </c>
      <c r="GY241" s="81">
        <v>0.61812902851857876</v>
      </c>
      <c r="GZ241" s="81">
        <v>0.74010946828297153</v>
      </c>
      <c r="HA241" s="81">
        <v>0.18027553809918698</v>
      </c>
      <c r="HB241" s="81">
        <v>13.772353582874402</v>
      </c>
      <c r="HC241" s="81">
        <v>124.30840500000001</v>
      </c>
      <c r="HD241" s="81">
        <v>206.86290799999998</v>
      </c>
      <c r="HE241" s="81">
        <v>119.711752</v>
      </c>
      <c r="HF241" s="81">
        <v>63.970928666666659</v>
      </c>
      <c r="HG241" s="81">
        <v>5.5977653333333324</v>
      </c>
      <c r="HH241" s="81">
        <v>12.570340666666667</v>
      </c>
      <c r="HI241" s="81">
        <v>44.656479999999995</v>
      </c>
      <c r="HJ241" s="81">
        <v>21.602166666666665</v>
      </c>
    </row>
    <row r="242" spans="1:218">
      <c r="A242" s="81" t="s">
        <v>782</v>
      </c>
      <c r="C242" s="81" t="s">
        <v>669</v>
      </c>
      <c r="E242" s="81" t="s">
        <v>129</v>
      </c>
      <c r="F242" s="81" t="s">
        <v>767</v>
      </c>
      <c r="GX242" s="81">
        <v>18.48633114009905</v>
      </c>
      <c r="GZ242" s="81">
        <v>0.92082177971014467</v>
      </c>
      <c r="HA242" s="81">
        <v>0.21273108351112727</v>
      </c>
      <c r="HB242" s="81">
        <v>10.407308864939724</v>
      </c>
      <c r="HC242" s="81">
        <v>100.07729</v>
      </c>
      <c r="HD242" s="81">
        <v>244.63227599999996</v>
      </c>
      <c r="HE242" s="81">
        <v>61.269490666666663</v>
      </c>
      <c r="HF242" s="81">
        <v>55.773238999999997</v>
      </c>
      <c r="HG242" s="81">
        <v>52.416741333333334</v>
      </c>
      <c r="HH242" s="81">
        <v>8.1636430000000004</v>
      </c>
      <c r="HI242" s="81">
        <v>50.380159999999997</v>
      </c>
      <c r="HJ242" s="81">
        <v>23.319042</v>
      </c>
    </row>
    <row r="243" spans="1:218">
      <c r="A243" s="81" t="s">
        <v>783</v>
      </c>
      <c r="C243" s="81" t="s">
        <v>670</v>
      </c>
      <c r="E243" s="81" t="s">
        <v>129</v>
      </c>
      <c r="F243" s="81" t="s">
        <v>767</v>
      </c>
      <c r="GX243" s="81">
        <v>7.5436588130163633</v>
      </c>
      <c r="GY243" s="81">
        <v>0.61069520400518618</v>
      </c>
      <c r="GZ243" s="81">
        <v>0.63349149674001914</v>
      </c>
      <c r="HA243" s="81">
        <v>0.20940795978597862</v>
      </c>
      <c r="HB243" s="81">
        <v>16.944679290441442</v>
      </c>
      <c r="HC243" s="81">
        <v>135.03195000000002</v>
      </c>
      <c r="HE243" s="81">
        <v>136.90136799999996</v>
      </c>
      <c r="HF243" s="81">
        <v>69.453341999999978</v>
      </c>
      <c r="HG243" s="81">
        <v>23.305824000000005</v>
      </c>
      <c r="HH243" s="81">
        <v>16.493189666666666</v>
      </c>
      <c r="HI243" s="81">
        <v>36.725000000000001</v>
      </c>
      <c r="HJ243" s="81">
        <v>23.165475333333333</v>
      </c>
    </row>
    <row r="244" spans="1:218">
      <c r="A244" s="81" t="s">
        <v>784</v>
      </c>
      <c r="C244" s="81" t="s">
        <v>671</v>
      </c>
      <c r="E244" s="81" t="s">
        <v>129</v>
      </c>
      <c r="F244" s="81" t="s">
        <v>767</v>
      </c>
      <c r="GX244" s="81">
        <v>10.527636262990343</v>
      </c>
      <c r="GZ244" s="81">
        <v>0.96687962405000294</v>
      </c>
      <c r="HA244" s="81">
        <v>0.22784491033654289</v>
      </c>
      <c r="HB244" s="81">
        <v>14.530619672543793</v>
      </c>
      <c r="HC244" s="81">
        <v>134.47803000000002</v>
      </c>
      <c r="HD244" s="81">
        <v>210.98834199999999</v>
      </c>
      <c r="HE244" s="81">
        <v>100.989304</v>
      </c>
      <c r="HF244" s="81">
        <v>78.384489666666653</v>
      </c>
      <c r="HG244" s="81">
        <v>52.649842666666672</v>
      </c>
      <c r="HH244" s="81">
        <v>8.5556216666666671</v>
      </c>
      <c r="HI244" s="81">
        <v>53.73668</v>
      </c>
      <c r="HJ244" s="81">
        <v>27.511412000000004</v>
      </c>
    </row>
    <row r="245" spans="1:218">
      <c r="A245" s="81" t="s">
        <v>785</v>
      </c>
      <c r="C245" s="81" t="s">
        <v>672</v>
      </c>
      <c r="E245" s="81" t="s">
        <v>129</v>
      </c>
      <c r="F245" s="81" t="s">
        <v>767</v>
      </c>
      <c r="GX245" s="81">
        <v>11.747803287840975</v>
      </c>
      <c r="GZ245" s="81">
        <v>0.95087347657954313</v>
      </c>
      <c r="HA245" s="81">
        <v>0.1729537182626987</v>
      </c>
      <c r="HB245" s="81">
        <v>14.798460183849402</v>
      </c>
      <c r="HC245" s="81">
        <v>131.88153000000003</v>
      </c>
      <c r="HD245" s="81">
        <v>262.762002</v>
      </c>
      <c r="HE245" s="81">
        <v>75.040648000000019</v>
      </c>
      <c r="HF245" s="81">
        <v>67.441889000000003</v>
      </c>
      <c r="HG245" s="81">
        <v>66.345501333333345</v>
      </c>
      <c r="HI245" s="81">
        <v>54.37744</v>
      </c>
      <c r="HJ245" s="81">
        <v>29.38799666666667</v>
      </c>
    </row>
    <row r="246" spans="1:218">
      <c r="A246" s="81" t="s">
        <v>786</v>
      </c>
      <c r="C246" s="81" t="s">
        <v>673</v>
      </c>
      <c r="E246" s="81" t="s">
        <v>129</v>
      </c>
      <c r="F246" s="81" t="s">
        <v>767</v>
      </c>
      <c r="GX246" s="81">
        <v>9.8632384793876984</v>
      </c>
      <c r="GZ246" s="81">
        <v>1.5869058243350322</v>
      </c>
      <c r="HA246" s="81">
        <v>0.21713119313171339</v>
      </c>
      <c r="HB246" s="81">
        <v>17.33589845456326</v>
      </c>
      <c r="HC246" s="81">
        <v>90.213475000000017</v>
      </c>
      <c r="HE246" s="81">
        <v>94.934009333333336</v>
      </c>
      <c r="HF246" s="81">
        <v>167.96638266666665</v>
      </c>
      <c r="HG246" s="81">
        <v>84.489192000000003</v>
      </c>
      <c r="HI246" s="81">
        <v>92.288519999999991</v>
      </c>
      <c r="HJ246" s="81">
        <v>37.536243999999996</v>
      </c>
    </row>
    <row r="247" spans="1:218">
      <c r="A247" s="81" t="s">
        <v>787</v>
      </c>
      <c r="C247" s="81" t="s">
        <v>674</v>
      </c>
      <c r="E247" s="81" t="s">
        <v>129</v>
      </c>
      <c r="F247" s="81" t="s">
        <v>767</v>
      </c>
      <c r="GX247" s="81">
        <v>10.945624791245001</v>
      </c>
      <c r="GZ247" s="81">
        <v>1.5451559491839471</v>
      </c>
      <c r="HA247" s="81">
        <v>0.22162393663904864</v>
      </c>
      <c r="HB247" s="81">
        <v>16.512670211921236</v>
      </c>
      <c r="HC247" s="81">
        <v>75.453815000000006</v>
      </c>
      <c r="HE247" s="81">
        <v>59.64846</v>
      </c>
      <c r="HF247" s="81">
        <v>87.078559999999996</v>
      </c>
      <c r="HG247" s="81">
        <v>97.497010666666668</v>
      </c>
      <c r="HI247" s="81">
        <v>89.22084000000001</v>
      </c>
      <c r="HJ247" s="81">
        <v>39.173264666666668</v>
      </c>
    </row>
    <row r="248" spans="1:218">
      <c r="A248" s="81" t="s">
        <v>788</v>
      </c>
      <c r="C248" s="81" t="s">
        <v>675</v>
      </c>
      <c r="E248" s="81" t="s">
        <v>129</v>
      </c>
      <c r="F248" s="81" t="s">
        <v>767</v>
      </c>
      <c r="GX248" s="81">
        <v>11.704125309353122</v>
      </c>
      <c r="GZ248" s="81">
        <v>1.0640671586838115</v>
      </c>
      <c r="HA248" s="81">
        <v>0.20211982499921732</v>
      </c>
      <c r="HB248" s="81">
        <v>15.31432424319326</v>
      </c>
      <c r="HC248" s="81">
        <v>108.10336000000001</v>
      </c>
      <c r="HD248" s="81">
        <v>215.56818199999998</v>
      </c>
      <c r="HE248" s="81">
        <v>87.050873333333342</v>
      </c>
      <c r="HF248" s="81">
        <v>65.937929666666648</v>
      </c>
      <c r="HG248" s="81">
        <v>90.821141333333344</v>
      </c>
      <c r="HI248" s="81">
        <v>62.899879999999996</v>
      </c>
      <c r="HJ248" s="81">
        <v>28.030467333333331</v>
      </c>
    </row>
    <row r="249" spans="1:218">
      <c r="A249" s="81" t="s">
        <v>789</v>
      </c>
      <c r="C249" s="81" t="s">
        <v>676</v>
      </c>
      <c r="E249" s="81" t="s">
        <v>129</v>
      </c>
      <c r="F249" s="81" t="s">
        <v>767</v>
      </c>
      <c r="GX249" s="81">
        <v>0.51461814169793396</v>
      </c>
      <c r="GZ249" s="81">
        <v>1.7544069923310419</v>
      </c>
      <c r="HA249" s="81">
        <v>1.1236473002621041E-2</v>
      </c>
      <c r="HB249" s="81">
        <v>2.3208159382358811</v>
      </c>
      <c r="HC249" s="81">
        <v>98.02894000000002</v>
      </c>
      <c r="HD249" s="81">
        <v>596.34967599999993</v>
      </c>
      <c r="HE249" s="81">
        <v>159.58971466666665</v>
      </c>
      <c r="HF249" s="81">
        <v>89.94200966666665</v>
      </c>
      <c r="HG249" s="81">
        <v>1.3216933333333334</v>
      </c>
      <c r="HH249" s="81">
        <v>7.6552956666666674</v>
      </c>
      <c r="HI249" s="81">
        <v>102.92247999999999</v>
      </c>
      <c r="HJ249" s="81">
        <v>36.685484666666667</v>
      </c>
    </row>
    <row r="250" spans="1:218">
      <c r="A250" s="81" t="s">
        <v>790</v>
      </c>
      <c r="C250" s="81" t="s">
        <v>677</v>
      </c>
      <c r="E250" s="81" t="s">
        <v>129</v>
      </c>
      <c r="F250" s="81" t="s">
        <v>767</v>
      </c>
      <c r="GX250" s="81">
        <v>8.7403560644563942</v>
      </c>
      <c r="GZ250" s="81">
        <v>0.68720972252091217</v>
      </c>
      <c r="HA250" s="81">
        <v>0.1792635830636391</v>
      </c>
      <c r="HB250" s="81">
        <v>12.235387277301546</v>
      </c>
      <c r="HC250" s="81">
        <v>154.07872</v>
      </c>
      <c r="HD250" s="81">
        <v>225.79410599999997</v>
      </c>
      <c r="HE250" s="81">
        <v>140.31982666666667</v>
      </c>
      <c r="HF250" s="81">
        <v>61.577929333333323</v>
      </c>
      <c r="HG250" s="81">
        <v>46.417248000000001</v>
      </c>
      <c r="HI250" s="81">
        <v>42.734199999999994</v>
      </c>
      <c r="HJ250" s="81">
        <v>24.332582000000002</v>
      </c>
    </row>
    <row r="251" spans="1:218">
      <c r="A251" s="81" t="s">
        <v>791</v>
      </c>
      <c r="C251" s="81" t="s">
        <v>678</v>
      </c>
      <c r="E251" s="81" t="s">
        <v>129</v>
      </c>
      <c r="F251" s="81" t="s">
        <v>767</v>
      </c>
      <c r="GX251" s="81">
        <v>7.7773977286459548</v>
      </c>
      <c r="GZ251" s="81">
        <v>0.55630012857049738</v>
      </c>
      <c r="HA251" s="81">
        <v>0.14296185995995628</v>
      </c>
      <c r="HB251" s="81">
        <v>12.123500672496968</v>
      </c>
      <c r="HC251" s="81">
        <v>164.18487500000001</v>
      </c>
      <c r="HD251" s="81">
        <v>195.04835200000002</v>
      </c>
      <c r="HE251" s="81">
        <v>126.153296</v>
      </c>
      <c r="HF251" s="81">
        <v>69.923792333333324</v>
      </c>
      <c r="HG251" s="81">
        <v>47.223549333333331</v>
      </c>
      <c r="HI251" s="81">
        <v>40.589480000000002</v>
      </c>
      <c r="HJ251" s="81">
        <v>21.23360666666667</v>
      </c>
    </row>
    <row r="252" spans="1:218">
      <c r="A252" s="81" t="s">
        <v>792</v>
      </c>
      <c r="C252" s="81" t="s">
        <v>679</v>
      </c>
      <c r="E252" s="81" t="s">
        <v>129</v>
      </c>
      <c r="F252" s="81" t="s">
        <v>767</v>
      </c>
      <c r="GX252" s="81">
        <v>9.0860589423276554</v>
      </c>
      <c r="GY252" s="81">
        <v>0.37103112801897914</v>
      </c>
      <c r="GZ252" s="81">
        <v>1.0021988285319217</v>
      </c>
      <c r="HA252" s="81">
        <v>0.16176653897004004</v>
      </c>
      <c r="HB252" s="81">
        <v>13.667813713433356</v>
      </c>
      <c r="HC252" s="81">
        <v>100.42349000000002</v>
      </c>
      <c r="HD252" s="81">
        <v>226.00520800000001</v>
      </c>
      <c r="HE252" s="81">
        <v>45.883385333333329</v>
      </c>
      <c r="HF252" s="81">
        <v>60.351795000000003</v>
      </c>
      <c r="HG252" s="81">
        <v>62.107642666666685</v>
      </c>
      <c r="HI252" s="81">
        <v>59.669520000000006</v>
      </c>
      <c r="HJ252" s="81">
        <v>28.196319333333335</v>
      </c>
    </row>
    <row r="253" spans="1:218">
      <c r="A253" s="81" t="s">
        <v>793</v>
      </c>
      <c r="C253" s="81" t="s">
        <v>680</v>
      </c>
      <c r="E253" s="81" t="s">
        <v>129</v>
      </c>
      <c r="F253" s="81" t="s">
        <v>767</v>
      </c>
      <c r="GX253" s="81">
        <v>7.5039946873322423</v>
      </c>
      <c r="GZ253" s="81">
        <v>0.81236777376775227</v>
      </c>
      <c r="HA253" s="81">
        <v>0.15299298705990169</v>
      </c>
      <c r="HB253" s="81">
        <v>13.777608522425282</v>
      </c>
      <c r="HC253" s="81">
        <v>110.35366</v>
      </c>
      <c r="HD253" s="81">
        <v>157.82641799999999</v>
      </c>
      <c r="HE253" s="81">
        <v>54.858360000000005</v>
      </c>
      <c r="HF253" s="81">
        <v>69.697828000000001</v>
      </c>
      <c r="HG253" s="81">
        <v>39.336317333333334</v>
      </c>
      <c r="HI253" s="81">
        <v>48.01632</v>
      </c>
      <c r="HJ253" s="81">
        <v>24.326439333333337</v>
      </c>
    </row>
    <row r="254" spans="1:218">
      <c r="A254" s="81" t="s">
        <v>794</v>
      </c>
      <c r="C254" s="81" t="s">
        <v>681</v>
      </c>
      <c r="E254" s="81" t="s">
        <v>129</v>
      </c>
      <c r="F254" s="81" t="s">
        <v>767</v>
      </c>
      <c r="GX254" s="81">
        <v>7.4478503996895107</v>
      </c>
      <c r="GY254" s="81">
        <v>0.32529187691285716</v>
      </c>
      <c r="GZ254" s="81">
        <v>0.81888091810108199</v>
      </c>
      <c r="HA254" s="81">
        <v>0.15051058603418879</v>
      </c>
      <c r="HB254" s="81">
        <v>12.79221656858617</v>
      </c>
      <c r="HC254" s="81">
        <v>83.854934999999998</v>
      </c>
      <c r="HD254" s="81">
        <v>191.92833600000003</v>
      </c>
      <c r="HE254" s="81">
        <v>81.086818666666673</v>
      </c>
      <c r="HF254" s="81">
        <v>70.664659</v>
      </c>
      <c r="HG254" s="81">
        <v>52.091928000000003</v>
      </c>
      <c r="HI254" s="81">
        <v>51.157040000000002</v>
      </c>
      <c r="HJ254" s="81">
        <v>25.693182666666669</v>
      </c>
    </row>
    <row r="255" spans="1:218">
      <c r="A255" s="81" t="s">
        <v>795</v>
      </c>
      <c r="C255" s="81" t="s">
        <v>682</v>
      </c>
      <c r="E255" s="81" t="s">
        <v>129</v>
      </c>
      <c r="F255" s="81" t="s">
        <v>767</v>
      </c>
      <c r="GX255" s="81">
        <v>9.8455708512046183</v>
      </c>
      <c r="GZ255" s="81">
        <v>0.95859471789689144</v>
      </c>
      <c r="HA255" s="81">
        <v>0.19131815238676739</v>
      </c>
      <c r="HB255" s="81">
        <v>13.699290003582902</v>
      </c>
      <c r="HC255" s="81">
        <v>95.767100000000013</v>
      </c>
      <c r="HD255" s="81">
        <v>257.62399399999998</v>
      </c>
      <c r="HE255" s="81">
        <v>120.74884666666667</v>
      </c>
      <c r="HF255" s="81">
        <v>79.225373333333323</v>
      </c>
      <c r="HG255" s="81">
        <v>44.456904000000009</v>
      </c>
      <c r="HI255" s="81">
        <v>49.51032</v>
      </c>
      <c r="HJ255" s="81">
        <v>28.561807999999999</v>
      </c>
    </row>
    <row r="256" spans="1:218">
      <c r="A256" s="81" t="s">
        <v>796</v>
      </c>
      <c r="C256" s="81" t="s">
        <v>683</v>
      </c>
      <c r="E256" s="81" t="s">
        <v>129</v>
      </c>
      <c r="F256" s="81" t="s">
        <v>767</v>
      </c>
      <c r="GX256" s="81">
        <v>8.7711534140560961</v>
      </c>
      <c r="GY256" s="81">
        <v>0.36015448315165716</v>
      </c>
      <c r="GZ256" s="81">
        <v>0.8322632654833706</v>
      </c>
      <c r="HA256" s="81">
        <v>0.1554491886024936</v>
      </c>
      <c r="HB256" s="81">
        <v>12.711412757479714</v>
      </c>
      <c r="HC256" s="81">
        <v>82.213369999999998</v>
      </c>
      <c r="HD256" s="81">
        <v>224.70281599999998</v>
      </c>
      <c r="HE256" s="81">
        <v>108.53789333333333</v>
      </c>
      <c r="HF256" s="81">
        <v>65.319305999999983</v>
      </c>
      <c r="HG256" s="81">
        <v>27.994600000000002</v>
      </c>
      <c r="HH256" s="81">
        <v>7.8512849999999998</v>
      </c>
      <c r="HI256" s="81">
        <v>48.235440000000004</v>
      </c>
      <c r="HJ256" s="81">
        <v>26.817290666666668</v>
      </c>
    </row>
    <row r="257" spans="1:218">
      <c r="A257" s="81" t="s">
        <v>797</v>
      </c>
      <c r="C257" s="81" t="s">
        <v>684</v>
      </c>
      <c r="E257" s="81" t="s">
        <v>129</v>
      </c>
      <c r="F257" s="81" t="s">
        <v>767</v>
      </c>
      <c r="GX257" s="81">
        <v>12.208045335802618</v>
      </c>
      <c r="GZ257" s="81">
        <v>1.1562795406249606</v>
      </c>
      <c r="HA257" s="81">
        <v>0.1812070232937204</v>
      </c>
      <c r="HB257" s="81">
        <v>13.800859562123854</v>
      </c>
      <c r="HC257" s="81">
        <v>85.767690000000016</v>
      </c>
      <c r="HD257" s="81">
        <v>294.23766799999999</v>
      </c>
      <c r="HE257" s="81">
        <v>75.162301333333332</v>
      </c>
      <c r="HF257" s="81">
        <v>73.183605666666665</v>
      </c>
      <c r="HG257" s="81">
        <v>55.175744000000009</v>
      </c>
      <c r="HI257" s="81">
        <v>57.325599999999987</v>
      </c>
      <c r="HJ257" s="81">
        <v>33.924355999999996</v>
      </c>
    </row>
    <row r="258" spans="1:218">
      <c r="A258" s="81" t="s">
        <v>798</v>
      </c>
      <c r="C258" s="81" t="s">
        <v>685</v>
      </c>
      <c r="E258" s="81" t="s">
        <v>129</v>
      </c>
      <c r="F258" s="81" t="s">
        <v>767</v>
      </c>
      <c r="GX258" s="81">
        <v>9.2996221976324573</v>
      </c>
      <c r="GY258" s="81">
        <v>0.3434693504974527</v>
      </c>
      <c r="GZ258" s="81">
        <v>0.94934629183279717</v>
      </c>
      <c r="HA258" s="81">
        <v>0.18233734385122558</v>
      </c>
      <c r="HB258" s="81">
        <v>14.265991944641236</v>
      </c>
      <c r="HC258" s="81">
        <v>100.38021500000001</v>
      </c>
      <c r="HD258" s="81">
        <v>280.77365400000002</v>
      </c>
      <c r="HE258" s="81">
        <v>128.60461066666667</v>
      </c>
      <c r="HF258" s="81">
        <v>69.286647000000002</v>
      </c>
      <c r="HG258" s="81">
        <v>32.859157333333336</v>
      </c>
      <c r="HI258" s="81">
        <v>49.775919999999992</v>
      </c>
      <c r="HJ258" s="81">
        <v>29.225216000000003</v>
      </c>
    </row>
    <row r="259" spans="1:218">
      <c r="A259" s="81" t="s">
        <v>799</v>
      </c>
      <c r="C259" s="81" t="s">
        <v>686</v>
      </c>
      <c r="E259" s="81" t="s">
        <v>129</v>
      </c>
      <c r="F259" s="81" t="s">
        <v>767</v>
      </c>
      <c r="GX259" s="81">
        <v>7.9609568083822291</v>
      </c>
      <c r="GZ259" s="81">
        <v>0.89752325397598531</v>
      </c>
      <c r="HA259" s="81">
        <v>0.17130782930520569</v>
      </c>
      <c r="HB259" s="81">
        <v>12.840370941540527</v>
      </c>
      <c r="HC259" s="81">
        <v>80.211179999999999</v>
      </c>
      <c r="HD259" s="81">
        <v>241.77345399999999</v>
      </c>
      <c r="HE259" s="81">
        <v>65.010330666666675</v>
      </c>
      <c r="HF259" s="81">
        <v>66.938099666666659</v>
      </c>
      <c r="HG259" s="81">
        <v>34.269229333333335</v>
      </c>
      <c r="HI259" s="81">
        <v>54.918599999999998</v>
      </c>
      <c r="HJ259" s="81">
        <v>31.584</v>
      </c>
    </row>
    <row r="260" spans="1:218">
      <c r="A260" s="81" t="s">
        <v>800</v>
      </c>
      <c r="C260" s="81" t="s">
        <v>687</v>
      </c>
      <c r="E260" s="81" t="s">
        <v>129</v>
      </c>
      <c r="F260" s="81" t="s">
        <v>767</v>
      </c>
      <c r="GX260" s="81">
        <v>7.6833258699312799</v>
      </c>
      <c r="GY260" s="81">
        <v>0.38317066781148973</v>
      </c>
      <c r="GZ260" s="81">
        <v>0.86498142123274901</v>
      </c>
      <c r="HA260" s="81">
        <v>0.17865070229777333</v>
      </c>
      <c r="HB260" s="81">
        <v>14.19609689274588</v>
      </c>
      <c r="HC260" s="81">
        <v>81.010325000000009</v>
      </c>
      <c r="HD260" s="81">
        <v>219.24278799999999</v>
      </c>
      <c r="HE260" s="81">
        <v>30.101906666666665</v>
      </c>
      <c r="HF260" s="81">
        <v>66.993664666666646</v>
      </c>
      <c r="HG260" s="81">
        <v>36.187538666666661</v>
      </c>
      <c r="HI260" s="81">
        <v>46.99044</v>
      </c>
      <c r="HJ260" s="81">
        <v>23.730600666666664</v>
      </c>
    </row>
    <row r="261" spans="1:218">
      <c r="A261" s="81" t="s">
        <v>801</v>
      </c>
      <c r="C261" s="81" t="s">
        <v>688</v>
      </c>
      <c r="E261" s="81" t="s">
        <v>129</v>
      </c>
      <c r="F261" s="81" t="s">
        <v>767</v>
      </c>
      <c r="GX261" s="81">
        <v>7.6405528859061391</v>
      </c>
      <c r="GY261" s="81">
        <v>0.37703929787935486</v>
      </c>
      <c r="GZ261" s="81">
        <v>0.83257723419108165</v>
      </c>
      <c r="HA261" s="81">
        <v>0.15652477095419245</v>
      </c>
      <c r="HB261" s="81">
        <v>12.464866674879749</v>
      </c>
      <c r="HC261" s="81">
        <v>80.77664</v>
      </c>
      <c r="HD261" s="81">
        <v>248.23174400000002</v>
      </c>
      <c r="HE261" s="81">
        <v>95.417581333333331</v>
      </c>
      <c r="HF261" s="81">
        <v>74.887599000000009</v>
      </c>
      <c r="HG261" s="81">
        <v>25.873760000000004</v>
      </c>
      <c r="HH261" s="81">
        <v>7.8819083333333326</v>
      </c>
      <c r="HI261" s="81">
        <v>53.188880000000005</v>
      </c>
      <c r="HJ261" s="81">
        <v>29.639846000000002</v>
      </c>
    </row>
    <row r="262" spans="1:218">
      <c r="A262" s="81" t="s">
        <v>802</v>
      </c>
      <c r="C262" s="81" t="s">
        <v>689</v>
      </c>
      <c r="E262" s="81" t="s">
        <v>129</v>
      </c>
      <c r="F262" s="81" t="s">
        <v>767</v>
      </c>
      <c r="GX262" s="81">
        <v>9.8932051033187687</v>
      </c>
      <c r="GZ262" s="81">
        <v>0.9304353650321201</v>
      </c>
      <c r="HA262" s="81">
        <v>0.18338672671980341</v>
      </c>
      <c r="HB262" s="81">
        <v>14.434563083658645</v>
      </c>
      <c r="HC262" s="81">
        <v>100.58793500000002</v>
      </c>
      <c r="HD262" s="81">
        <v>230.828352</v>
      </c>
      <c r="HE262" s="81">
        <v>126.77068666666666</v>
      </c>
      <c r="HF262" s="81">
        <v>82.255517999999995</v>
      </c>
      <c r="HG262" s="81">
        <v>46.352285333333349</v>
      </c>
      <c r="HI262" s="81">
        <v>54.496960000000001</v>
      </c>
      <c r="HJ262" s="81">
        <v>27.953683999999999</v>
      </c>
    </row>
    <row r="263" spans="1:218">
      <c r="A263" s="81" t="s">
        <v>803</v>
      </c>
      <c r="C263" s="81" t="s">
        <v>690</v>
      </c>
      <c r="E263" s="81" t="s">
        <v>129</v>
      </c>
      <c r="F263" s="81" t="s">
        <v>767</v>
      </c>
      <c r="GX263" s="81">
        <v>10.325662277485591</v>
      </c>
      <c r="GZ263" s="81">
        <v>1.0180593673263418</v>
      </c>
      <c r="HA263" s="81">
        <v>0.20496621170114671</v>
      </c>
      <c r="HB263" s="81">
        <v>14.383357155511993</v>
      </c>
      <c r="HC263" s="81">
        <v>93.280230000000003</v>
      </c>
      <c r="HD263" s="81">
        <v>267.37762199999997</v>
      </c>
      <c r="HE263" s="81">
        <v>53.888174666666664</v>
      </c>
      <c r="HF263" s="81">
        <v>65.900886333333332</v>
      </c>
      <c r="HG263" s="81">
        <v>44.208517333333333</v>
      </c>
      <c r="HI263" s="81">
        <v>53.238679999999995</v>
      </c>
      <c r="HJ263" s="81">
        <v>28.878155333333336</v>
      </c>
    </row>
    <row r="264" spans="1:218">
      <c r="A264" s="81" t="s">
        <v>804</v>
      </c>
      <c r="C264" s="81" t="s">
        <v>691</v>
      </c>
      <c r="E264" s="81" t="s">
        <v>129</v>
      </c>
      <c r="F264" s="81" t="s">
        <v>767</v>
      </c>
      <c r="GX264" s="81">
        <v>10.223940315740101</v>
      </c>
      <c r="GZ264" s="81">
        <v>1.0314166882174358</v>
      </c>
      <c r="HA264" s="81">
        <v>0.21492669376624798</v>
      </c>
      <c r="HB264" s="81">
        <v>14.549120961637172</v>
      </c>
      <c r="HC264" s="81">
        <v>100.103255</v>
      </c>
      <c r="HD264" s="81">
        <v>251.498458</v>
      </c>
      <c r="HE264" s="81">
        <v>105.32928666666668</v>
      </c>
      <c r="HF264" s="81">
        <v>78.14370799999999</v>
      </c>
      <c r="HG264" s="81">
        <v>49.153322666666675</v>
      </c>
      <c r="HI264" s="81">
        <v>56.615119999999997</v>
      </c>
      <c r="HJ264" s="81">
        <v>30.957447999999999</v>
      </c>
    </row>
    <row r="265" spans="1:218">
      <c r="A265" s="81" t="s">
        <v>805</v>
      </c>
      <c r="C265" s="81" t="s">
        <v>692</v>
      </c>
      <c r="E265" s="81" t="s">
        <v>129</v>
      </c>
      <c r="F265" s="81" t="s">
        <v>767</v>
      </c>
      <c r="GX265" s="81">
        <v>9.7122963347061226</v>
      </c>
      <c r="GZ265" s="81">
        <v>1.0149640453927129</v>
      </c>
      <c r="HA265" s="81">
        <v>0.18868978281223758</v>
      </c>
      <c r="HB265" s="81">
        <v>13.344304814939312</v>
      </c>
      <c r="HC265" s="81">
        <v>117.88639500000001</v>
      </c>
      <c r="HD265" s="81">
        <v>278.73419399999995</v>
      </c>
      <c r="HE265" s="81">
        <v>54.383911999999988</v>
      </c>
      <c r="HF265" s="81">
        <v>69.397777000000005</v>
      </c>
      <c r="HG265" s="81">
        <v>61.393053333333341</v>
      </c>
      <c r="HI265" s="81">
        <v>59.476959999999998</v>
      </c>
      <c r="HJ265" s="81">
        <v>29.102362666666664</v>
      </c>
    </row>
    <row r="266" spans="1:218">
      <c r="A266" s="81" t="s">
        <v>806</v>
      </c>
      <c r="C266" s="81" t="s">
        <v>693</v>
      </c>
      <c r="E266" s="81" t="s">
        <v>129</v>
      </c>
      <c r="F266" s="81" t="s">
        <v>767</v>
      </c>
      <c r="GX266" s="81">
        <v>8.7533097104173816</v>
      </c>
      <c r="GZ266" s="81">
        <v>1.0206973870117826</v>
      </c>
      <c r="HA266" s="81">
        <v>0.19354604414787643</v>
      </c>
      <c r="HB266" s="81">
        <v>14.486306888173599</v>
      </c>
      <c r="HC266" s="81">
        <v>115.29278000000001</v>
      </c>
      <c r="HD266" s="81">
        <v>265.02329800000001</v>
      </c>
      <c r="HE266" s="81">
        <v>56.871722666666663</v>
      </c>
      <c r="HF266" s="81">
        <v>75.487700999999973</v>
      </c>
      <c r="HG266" s="81">
        <v>74.851789333333329</v>
      </c>
      <c r="HI266" s="81">
        <v>62.113040000000005</v>
      </c>
      <c r="HJ266" s="81">
        <v>27.004642</v>
      </c>
    </row>
    <row r="267" spans="1:218">
      <c r="A267" s="81" t="s">
        <v>807</v>
      </c>
      <c r="C267" s="81" t="s">
        <v>694</v>
      </c>
      <c r="E267" s="81" t="s">
        <v>129</v>
      </c>
      <c r="F267" s="81" t="s">
        <v>767</v>
      </c>
      <c r="GX267" s="81">
        <v>10.362379434110176</v>
      </c>
      <c r="GZ267" s="81">
        <v>0.95707663369239759</v>
      </c>
      <c r="HA267" s="81">
        <v>0.18439681036369981</v>
      </c>
      <c r="HB267" s="81">
        <v>15.308856893866365</v>
      </c>
      <c r="HC267" s="81">
        <v>114.522485</v>
      </c>
      <c r="HD267" s="81">
        <v>248.36413000000002</v>
      </c>
      <c r="HE267" s="81">
        <v>74.44758800000001</v>
      </c>
      <c r="HF267" s="81">
        <v>79.462450666666655</v>
      </c>
      <c r="HG267" s="81">
        <v>65.378703999999999</v>
      </c>
      <c r="HI267" s="81">
        <v>57.325600000000001</v>
      </c>
      <c r="HJ267" s="81">
        <v>28.220890000000001</v>
      </c>
    </row>
    <row r="268" spans="1:218">
      <c r="A268" s="81" t="s">
        <v>808</v>
      </c>
      <c r="C268" s="81" t="s">
        <v>695</v>
      </c>
      <c r="E268" s="81" t="s">
        <v>129</v>
      </c>
      <c r="F268" s="81" t="s">
        <v>767</v>
      </c>
      <c r="GX268" s="81">
        <v>10.523288617853661</v>
      </c>
      <c r="GZ268" s="81">
        <v>0.95044859501313006</v>
      </c>
      <c r="HA268" s="81">
        <v>0.17125964097017957</v>
      </c>
      <c r="HB268" s="81">
        <v>14.179362526244654</v>
      </c>
      <c r="HC268" s="81">
        <v>122.94091500000002</v>
      </c>
      <c r="HD268" s="81">
        <v>218.44489399999998</v>
      </c>
      <c r="HE268" s="81">
        <v>65.284050666666673</v>
      </c>
      <c r="HF268" s="81">
        <v>67.515975666666662</v>
      </c>
      <c r="HG268" s="81">
        <v>69.712096000000017</v>
      </c>
      <c r="HI268" s="81">
        <v>57.75719999999999</v>
      </c>
      <c r="HJ268" s="81">
        <v>27.916827999999999</v>
      </c>
    </row>
    <row r="269" spans="1:218">
      <c r="A269" s="81" t="s">
        <v>809</v>
      </c>
      <c r="C269" s="81" t="s">
        <v>696</v>
      </c>
      <c r="E269" s="81" t="s">
        <v>129</v>
      </c>
      <c r="F269" s="81" t="s">
        <v>767</v>
      </c>
      <c r="GX269" s="81">
        <v>9.7330644764219016</v>
      </c>
      <c r="GZ269" s="81">
        <v>0.85139203651421658</v>
      </c>
      <c r="HA269" s="81">
        <v>0.2144513602867674</v>
      </c>
      <c r="HB269" s="81">
        <v>14.447688931084835</v>
      </c>
      <c r="HC269" s="81">
        <v>117.43922000000002</v>
      </c>
      <c r="HD269" s="81">
        <v>220.36270199999998</v>
      </c>
      <c r="HE269" s="81">
        <v>228.40596399999995</v>
      </c>
      <c r="HF269" s="81">
        <v>63.40046133333334</v>
      </c>
      <c r="HG269" s="81">
        <v>56.452069333333334</v>
      </c>
      <c r="HI269" s="81">
        <v>53.975719999999995</v>
      </c>
      <c r="HJ269" s="81">
        <v>25.926603999999998</v>
      </c>
    </row>
    <row r="270" spans="1:218">
      <c r="A270" s="81" t="s">
        <v>810</v>
      </c>
      <c r="C270" s="81" t="s">
        <v>697</v>
      </c>
      <c r="E270" s="81" t="s">
        <v>129</v>
      </c>
      <c r="F270" s="81" t="s">
        <v>767</v>
      </c>
      <c r="GX270" s="81">
        <v>7.5024300357715354</v>
      </c>
      <c r="GZ270" s="81">
        <v>0.65051235467163182</v>
      </c>
      <c r="HA270" s="81">
        <v>0.20006082633465597</v>
      </c>
      <c r="HB270" s="81">
        <v>11.917327130043404</v>
      </c>
      <c r="HC270" s="81">
        <v>125.67878</v>
      </c>
      <c r="HD270" s="81">
        <v>175.34788399999999</v>
      </c>
      <c r="HE270" s="81">
        <v>108.38582666666667</v>
      </c>
      <c r="HF270" s="81">
        <v>52.350434999999997</v>
      </c>
      <c r="HG270" s="81">
        <v>35.797762666666671</v>
      </c>
      <c r="HI270" s="81">
        <v>49.281239999999997</v>
      </c>
      <c r="HJ270" s="81">
        <v>25.570329333333333</v>
      </c>
    </row>
    <row r="271" spans="1:218">
      <c r="A271" s="81" t="s">
        <v>811</v>
      </c>
      <c r="C271" s="81" t="s">
        <v>698</v>
      </c>
      <c r="E271" s="81" t="s">
        <v>129</v>
      </c>
      <c r="F271" s="81" t="s">
        <v>767</v>
      </c>
      <c r="GX271" s="81">
        <v>9.1231282498635</v>
      </c>
      <c r="GZ271" s="81">
        <v>0.78007677472034997</v>
      </c>
      <c r="HA271" s="81">
        <v>0.19283257608074258</v>
      </c>
      <c r="HB271" s="81">
        <v>14.368913290742919</v>
      </c>
      <c r="HC271" s="81">
        <v>135.761855</v>
      </c>
      <c r="HD271" s="81">
        <v>202.90564000000003</v>
      </c>
      <c r="HE271" s="81">
        <v>28.705934666666668</v>
      </c>
      <c r="HF271" s="81">
        <v>66.223163333333318</v>
      </c>
      <c r="HG271" s="81">
        <v>56.742490666666669</v>
      </c>
      <c r="HI271" s="81">
        <v>47.62124</v>
      </c>
      <c r="HJ271" s="81">
        <v>25.604113999999999</v>
      </c>
    </row>
    <row r="272" spans="1:218">
      <c r="A272" s="81" t="s">
        <v>812</v>
      </c>
      <c r="C272" s="81" t="s">
        <v>699</v>
      </c>
      <c r="E272" s="81" t="s">
        <v>129</v>
      </c>
      <c r="F272" s="81" t="s">
        <v>767</v>
      </c>
      <c r="GX272" s="81">
        <v>10.358552505012895</v>
      </c>
      <c r="GZ272" s="81">
        <v>0.87654821043566544</v>
      </c>
      <c r="HA272" s="81">
        <v>0.22332222456278364</v>
      </c>
      <c r="HB272" s="81">
        <v>13.801730246436142</v>
      </c>
      <c r="HC272" s="81">
        <v>133.35576500000002</v>
      </c>
      <c r="HD272" s="81">
        <v>224.55611799999997</v>
      </c>
      <c r="HE272" s="81">
        <v>103.16081600000001</v>
      </c>
      <c r="HF272" s="81">
        <v>69.297759999999982</v>
      </c>
      <c r="HG272" s="81">
        <v>59.684917333333338</v>
      </c>
      <c r="HI272" s="81">
        <v>53.696840000000002</v>
      </c>
      <c r="HJ272" s="81">
        <v>25.06355933333333</v>
      </c>
    </row>
    <row r="273" spans="1:218">
      <c r="A273" s="81" t="s">
        <v>813</v>
      </c>
      <c r="C273" s="81" t="s">
        <v>700</v>
      </c>
      <c r="E273" s="81" t="s">
        <v>765</v>
      </c>
      <c r="F273" s="81" t="s">
        <v>767</v>
      </c>
      <c r="GX273" s="81">
        <v>7.1998393583837768</v>
      </c>
      <c r="GY273" s="81">
        <v>0.7708967407412709</v>
      </c>
      <c r="GZ273" s="81">
        <v>0.73069609489055098</v>
      </c>
      <c r="HA273" s="81">
        <v>0.16901958516333573</v>
      </c>
      <c r="HB273" s="81">
        <v>11.376933167533858</v>
      </c>
      <c r="HC273" s="81">
        <v>109.15350000000001</v>
      </c>
      <c r="HD273" s="81">
        <v>169.49785400000002</v>
      </c>
      <c r="HE273" s="81">
        <v>46.394329333333332</v>
      </c>
      <c r="HF273" s="81">
        <v>47.408854333333331</v>
      </c>
      <c r="HG273" s="81">
        <v>633.7714666666667</v>
      </c>
      <c r="HI273" s="81">
        <v>48.862919999999995</v>
      </c>
      <c r="HJ273" s="81">
        <v>20.487272666666666</v>
      </c>
    </row>
    <row r="274" spans="1:218">
      <c r="A274" s="81" t="s">
        <v>814</v>
      </c>
      <c r="C274" s="81" t="s">
        <v>701</v>
      </c>
      <c r="E274" s="81" t="s">
        <v>129</v>
      </c>
      <c r="F274" s="81" t="s">
        <v>767</v>
      </c>
      <c r="GX274" s="81">
        <v>8.5068120001011618</v>
      </c>
      <c r="GZ274" s="81">
        <v>0.84357637707099886</v>
      </c>
      <c r="HA274" s="81">
        <v>0.27338709756741292</v>
      </c>
      <c r="HB274" s="81">
        <v>14.357858683344604</v>
      </c>
      <c r="HC274" s="81">
        <v>142.26752999999999</v>
      </c>
      <c r="HD274" s="81">
        <v>173.84512400000003</v>
      </c>
      <c r="HE274" s="81">
        <v>68.87890666666668</v>
      </c>
      <c r="HF274" s="81">
        <v>72.635364333333328</v>
      </c>
      <c r="HG274" s="81">
        <v>55.783336000000013</v>
      </c>
      <c r="HI274" s="81">
        <v>53.334960000000002</v>
      </c>
      <c r="HJ274" s="81">
        <v>26.236808666666665</v>
      </c>
    </row>
    <row r="275" spans="1:218">
      <c r="A275" s="81" t="s">
        <v>815</v>
      </c>
      <c r="C275" s="81" t="s">
        <v>702</v>
      </c>
      <c r="E275" s="81" t="s">
        <v>129</v>
      </c>
      <c r="F275" s="81" t="s">
        <v>767</v>
      </c>
      <c r="GX275" s="81">
        <v>7.3442237354441184</v>
      </c>
      <c r="GZ275" s="81">
        <v>0.76320152546477737</v>
      </c>
      <c r="HA275" s="81">
        <v>0.1914411963878534</v>
      </c>
      <c r="HB275" s="81">
        <v>13.195805420908499</v>
      </c>
      <c r="HC275" s="81">
        <v>127.97235499999999</v>
      </c>
      <c r="HD275" s="81">
        <v>155.021266</v>
      </c>
      <c r="HE275" s="81">
        <v>94.833645333333337</v>
      </c>
      <c r="HF275" s="81">
        <v>66.500988333333325</v>
      </c>
      <c r="HG275" s="81">
        <v>48.446376000000008</v>
      </c>
      <c r="HI275" s="81">
        <v>48.939279999999997</v>
      </c>
      <c r="HJ275" s="81">
        <v>23.423467333333335</v>
      </c>
    </row>
    <row r="276" spans="1:218">
      <c r="A276" s="81" t="s">
        <v>816</v>
      </c>
      <c r="C276" s="81" t="s">
        <v>703</v>
      </c>
      <c r="E276" s="81" t="s">
        <v>129</v>
      </c>
      <c r="F276" s="81" t="s">
        <v>767</v>
      </c>
      <c r="GX276" s="81">
        <v>9.8898208663030633</v>
      </c>
      <c r="GZ276" s="81">
        <v>0.81151744185103514</v>
      </c>
      <c r="HA276" s="81">
        <v>0.19943250658766531</v>
      </c>
      <c r="HB276" s="81">
        <v>13.573315344855251</v>
      </c>
      <c r="HC276" s="81">
        <v>124.85367000000001</v>
      </c>
      <c r="HD276" s="81">
        <v>242.141988</v>
      </c>
      <c r="HE276" s="81">
        <v>192.49085866666667</v>
      </c>
      <c r="HF276" s="81">
        <v>65.70085233333333</v>
      </c>
      <c r="HG276" s="81">
        <v>60.628786666666677</v>
      </c>
      <c r="HI276" s="81">
        <v>52.518239999999999</v>
      </c>
      <c r="HJ276" s="81">
        <v>25.303123333333332</v>
      </c>
    </row>
    <row r="277" spans="1:218">
      <c r="A277" s="81" t="s">
        <v>817</v>
      </c>
      <c r="C277" s="81" t="s">
        <v>704</v>
      </c>
      <c r="E277" s="81" t="s">
        <v>129</v>
      </c>
      <c r="F277" s="81" t="s">
        <v>767</v>
      </c>
      <c r="GX277" s="81">
        <v>10.495637678232436</v>
      </c>
      <c r="GZ277" s="81">
        <v>0.85725676721205624</v>
      </c>
      <c r="HA277" s="81">
        <v>0.20848255661431259</v>
      </c>
      <c r="HB277" s="81">
        <v>14.249385317659693</v>
      </c>
      <c r="HC277" s="81">
        <v>120.534825</v>
      </c>
      <c r="HD277" s="81">
        <v>230.828352</v>
      </c>
      <c r="HE277" s="81">
        <v>80.238286666666667</v>
      </c>
      <c r="HF277" s="81">
        <v>63.433800333333323</v>
      </c>
      <c r="HG277" s="81">
        <v>63.273149333333343</v>
      </c>
      <c r="HI277" s="81">
        <v>51.233399999999996</v>
      </c>
      <c r="HJ277" s="81">
        <v>26.626868000000002</v>
      </c>
    </row>
    <row r="278" spans="1:218">
      <c r="A278" s="81" t="s">
        <v>818</v>
      </c>
      <c r="C278" s="81" t="s">
        <v>705</v>
      </c>
      <c r="E278" s="81" t="s">
        <v>129</v>
      </c>
      <c r="F278" s="81" t="s">
        <v>767</v>
      </c>
      <c r="GX278" s="81">
        <v>8.6618702214884369</v>
      </c>
      <c r="GZ278" s="81">
        <v>0.78238205582968445</v>
      </c>
      <c r="HA278" s="81">
        <v>0.24963305548702827</v>
      </c>
      <c r="HB278" s="81">
        <v>14.812084264344682</v>
      </c>
      <c r="HC278" s="81">
        <v>124.718075</v>
      </c>
      <c r="HD278" s="81">
        <v>182.26058</v>
      </c>
      <c r="HE278" s="81">
        <v>69.934249333333341</v>
      </c>
      <c r="HF278" s="81">
        <v>71.361073666666655</v>
      </c>
      <c r="HG278" s="81">
        <v>48.415805333333338</v>
      </c>
      <c r="HI278" s="81">
        <v>50.924640000000004</v>
      </c>
      <c r="HJ278" s="81">
        <v>25.539615999999999</v>
      </c>
    </row>
    <row r="279" spans="1:218">
      <c r="A279" s="81" t="s">
        <v>819</v>
      </c>
      <c r="C279" s="81" t="s">
        <v>706</v>
      </c>
      <c r="E279" s="81" t="s">
        <v>765</v>
      </c>
      <c r="F279" s="81" t="s">
        <v>767</v>
      </c>
      <c r="GX279" s="81">
        <v>5.7129889491221464</v>
      </c>
      <c r="GZ279" s="81">
        <v>0.66768678425375516</v>
      </c>
      <c r="HA279" s="81">
        <v>0.15442834445660114</v>
      </c>
      <c r="HB279" s="81">
        <v>11.267228901879639</v>
      </c>
      <c r="HC279" s="81">
        <v>127.03473000000001</v>
      </c>
      <c r="HD279" s="81">
        <v>187.094458</v>
      </c>
      <c r="HE279" s="81">
        <v>87.327634666666668</v>
      </c>
      <c r="HF279" s="81">
        <v>55.754717333333332</v>
      </c>
      <c r="HG279" s="81">
        <v>33.852703999999996</v>
      </c>
      <c r="HI279" s="81">
        <v>42.259440000000005</v>
      </c>
      <c r="HJ279" s="81">
        <v>19.670297999999999</v>
      </c>
    </row>
    <row r="280" spans="1:218">
      <c r="A280" s="81" t="s">
        <v>820</v>
      </c>
      <c r="C280" s="81" t="s">
        <v>707</v>
      </c>
      <c r="E280" s="81" t="s">
        <v>129</v>
      </c>
      <c r="F280" s="81" t="s">
        <v>767</v>
      </c>
      <c r="GX280" s="81">
        <v>8.791636997808034</v>
      </c>
      <c r="GZ280" s="81">
        <v>0.63345452578711858</v>
      </c>
      <c r="HA280" s="81">
        <v>0.21990412771132142</v>
      </c>
      <c r="HB280" s="81">
        <v>12.454096911927612</v>
      </c>
      <c r="HC280" s="81">
        <v>256.17598500000003</v>
      </c>
      <c r="HD280" s="81">
        <v>479.90366599999999</v>
      </c>
      <c r="HE280" s="81">
        <v>97.874978666666678</v>
      </c>
      <c r="HF280" s="81">
        <v>60.199917333333332</v>
      </c>
      <c r="HG280" s="81">
        <v>49.283248000000007</v>
      </c>
      <c r="HI280" s="81">
        <v>41.369679999999995</v>
      </c>
      <c r="HJ280" s="81">
        <v>22.465211333333333</v>
      </c>
    </row>
    <row r="281" spans="1:218">
      <c r="A281" s="81" t="s">
        <v>821</v>
      </c>
      <c r="C281" s="81" t="s">
        <v>708</v>
      </c>
      <c r="E281" s="81" t="s">
        <v>129</v>
      </c>
      <c r="F281" s="81" t="s">
        <v>767</v>
      </c>
      <c r="GX281" s="81">
        <v>8.1491443360552811</v>
      </c>
      <c r="GZ281" s="81">
        <v>0.66420639562606809</v>
      </c>
      <c r="HA281" s="81">
        <v>0.21350303256737044</v>
      </c>
      <c r="HB281" s="81">
        <v>12.955638483517262</v>
      </c>
      <c r="HC281" s="81">
        <v>231.34190500000003</v>
      </c>
      <c r="HD281" s="81">
        <v>432.97103999999996</v>
      </c>
      <c r="HE281" s="81">
        <v>88.84526000000001</v>
      </c>
      <c r="HF281" s="81">
        <v>61.833528333333327</v>
      </c>
      <c r="HG281" s="81">
        <v>38.453589333333333</v>
      </c>
      <c r="HI281" s="81">
        <v>42.863680000000009</v>
      </c>
      <c r="HJ281" s="81">
        <v>23.291399999999996</v>
      </c>
    </row>
    <row r="282" spans="1:218">
      <c r="A282" s="81" t="s">
        <v>822</v>
      </c>
      <c r="C282" s="81" t="s">
        <v>709</v>
      </c>
      <c r="E282" s="81" t="s">
        <v>129</v>
      </c>
      <c r="F282" s="81" t="s">
        <v>767</v>
      </c>
      <c r="GX282" s="81">
        <v>7.560646756561475</v>
      </c>
      <c r="GZ282" s="81">
        <v>0.91350266860357865</v>
      </c>
      <c r="HA282" s="81">
        <v>0.19358440767673221</v>
      </c>
      <c r="HB282" s="81">
        <v>13.842300513655152</v>
      </c>
      <c r="HC282" s="81">
        <v>68.979875000000007</v>
      </c>
      <c r="HE282" s="81">
        <v>145.90067333333332</v>
      </c>
      <c r="HF282" s="81">
        <v>78.443758999999986</v>
      </c>
      <c r="HG282" s="81">
        <v>44.537152000000013</v>
      </c>
      <c r="HI282" s="81">
        <v>57.763839999999995</v>
      </c>
      <c r="HJ282" s="81">
        <v>30.487534</v>
      </c>
    </row>
    <row r="283" spans="1:218">
      <c r="A283" s="81" t="s">
        <v>823</v>
      </c>
      <c r="C283" s="81" t="s">
        <v>710</v>
      </c>
      <c r="E283" s="81" t="s">
        <v>129</v>
      </c>
      <c r="F283" s="81" t="s">
        <v>767</v>
      </c>
      <c r="GX283" s="81">
        <v>6.1808781794316934</v>
      </c>
      <c r="GZ283" s="81">
        <v>0.99915014687733716</v>
      </c>
      <c r="HA283" s="81">
        <v>0.17842005327672608</v>
      </c>
      <c r="HB283" s="81">
        <v>14.649908421509757</v>
      </c>
      <c r="HC283" s="81">
        <v>64.502355000000009</v>
      </c>
      <c r="HD283" s="81">
        <v>149.03885</v>
      </c>
      <c r="HE283" s="81">
        <v>115.89792</v>
      </c>
      <c r="HF283" s="81">
        <v>72.705746666666656</v>
      </c>
      <c r="HG283" s="81">
        <v>11.692792000000003</v>
      </c>
      <c r="HI283" s="81">
        <v>63.640240000000006</v>
      </c>
      <c r="HJ283" s="81">
        <v>27.075282666666666</v>
      </c>
    </row>
    <row r="284" spans="1:218">
      <c r="A284" s="81" t="s">
        <v>824</v>
      </c>
      <c r="C284" s="81" t="s">
        <v>711</v>
      </c>
      <c r="E284" s="81" t="s">
        <v>129</v>
      </c>
      <c r="F284" s="81" t="s">
        <v>767</v>
      </c>
      <c r="GX284" s="81">
        <v>7.501278869463273</v>
      </c>
      <c r="GY284" s="81">
        <v>0.31867599538352892</v>
      </c>
      <c r="GZ284" s="81">
        <v>1.0532824473307185</v>
      </c>
      <c r="HA284" s="81">
        <v>0.21769027138759856</v>
      </c>
      <c r="HB284" s="81">
        <v>17.054835887309071</v>
      </c>
      <c r="HC284" s="81">
        <v>66.36318</v>
      </c>
      <c r="HE284" s="81">
        <v>424.02148266666671</v>
      </c>
      <c r="HF284" s="81">
        <v>85.111558999999986</v>
      </c>
      <c r="HG284" s="81">
        <v>33.982629333333342</v>
      </c>
      <c r="HI284" s="81">
        <v>63.530679999999997</v>
      </c>
      <c r="HJ284" s="81">
        <v>34.901040000000002</v>
      </c>
    </row>
    <row r="285" spans="1:218">
      <c r="A285" s="81" t="s">
        <v>825</v>
      </c>
      <c r="C285" s="81" t="s">
        <v>712</v>
      </c>
      <c r="E285" s="81" t="s">
        <v>129</v>
      </c>
      <c r="F285" s="81" t="s">
        <v>767</v>
      </c>
      <c r="GX285" s="81">
        <v>6.3757836950457962</v>
      </c>
      <c r="GZ285" s="81">
        <v>0.96377690792579429</v>
      </c>
      <c r="HA285" s="81">
        <v>0.18663733401845647</v>
      </c>
      <c r="HB285" s="81">
        <v>15.237295844557275</v>
      </c>
      <c r="HC285" s="81">
        <v>55.062635</v>
      </c>
      <c r="HE285" s="81">
        <v>167.45156133333333</v>
      </c>
      <c r="HF285" s="81">
        <v>83.903946333333323</v>
      </c>
      <c r="HG285" s="81">
        <v>6.0983600000000022</v>
      </c>
      <c r="HI285" s="81">
        <v>60.609080000000006</v>
      </c>
      <c r="HJ285" s="81">
        <v>32.11226933333333</v>
      </c>
    </row>
    <row r="286" spans="1:218">
      <c r="A286" s="81" t="s">
        <v>826</v>
      </c>
      <c r="C286" s="81" t="s">
        <v>713</v>
      </c>
      <c r="E286" s="81" t="s">
        <v>129</v>
      </c>
      <c r="F286" s="81" t="s">
        <v>767</v>
      </c>
      <c r="GX286" s="81">
        <v>7.4803542625914217</v>
      </c>
      <c r="GY286" s="81">
        <v>0.43104651710399106</v>
      </c>
      <c r="GZ286" s="81">
        <v>1.0069629624011009</v>
      </c>
      <c r="HA286" s="81">
        <v>0.20228965379159081</v>
      </c>
      <c r="HB286" s="81">
        <v>15.557143366244008</v>
      </c>
      <c r="HC286" s="81">
        <v>61.481760000000001</v>
      </c>
      <c r="HE286" s="81">
        <v>128.41908933333335</v>
      </c>
      <c r="HF286" s="81">
        <v>87.749044333333316</v>
      </c>
      <c r="HG286" s="81">
        <v>49.951981333333329</v>
      </c>
      <c r="HI286" s="81">
        <v>74.891720000000007</v>
      </c>
      <c r="HJ286" s="81">
        <v>36.869764666666669</v>
      </c>
    </row>
    <row r="287" spans="1:218">
      <c r="A287" s="81" t="s">
        <v>827</v>
      </c>
      <c r="C287" s="81" t="s">
        <v>714</v>
      </c>
      <c r="E287" s="81" t="s">
        <v>129</v>
      </c>
      <c r="F287" s="81" t="s">
        <v>767</v>
      </c>
      <c r="GX287" s="81">
        <v>5.8353572183818914</v>
      </c>
      <c r="GZ287" s="81">
        <v>0.93387707635523431</v>
      </c>
      <c r="HA287" s="81">
        <v>0.18068630856669091</v>
      </c>
      <c r="HB287" s="81">
        <v>15.209028214526533</v>
      </c>
      <c r="HC287" s="81">
        <v>66.504545000000007</v>
      </c>
      <c r="HE287" s="81">
        <v>221.33486399999995</v>
      </c>
      <c r="HF287" s="81">
        <v>76.691609333333318</v>
      </c>
      <c r="HG287" s="81">
        <v>16.859234666666669</v>
      </c>
      <c r="HI287" s="81">
        <v>61.565239999999996</v>
      </c>
      <c r="HJ287" s="81">
        <v>30.217256666666668</v>
      </c>
    </row>
    <row r="288" spans="1:218">
      <c r="A288" s="81" t="s">
        <v>828</v>
      </c>
      <c r="C288" s="81" t="s">
        <v>715</v>
      </c>
      <c r="E288" s="81" t="s">
        <v>129</v>
      </c>
      <c r="F288" s="81" t="s">
        <v>767</v>
      </c>
      <c r="GX288" s="81">
        <v>9.0778877060170231</v>
      </c>
      <c r="GZ288" s="81">
        <v>1.1874676677081391</v>
      </c>
      <c r="HA288" s="81">
        <v>0.21732722140720787</v>
      </c>
      <c r="HB288" s="81">
        <v>16.894300102445182</v>
      </c>
      <c r="HC288" s="81">
        <v>74.386364999999998</v>
      </c>
      <c r="HE288" s="81">
        <v>80.685362666666677</v>
      </c>
      <c r="HF288" s="81">
        <v>86.756282999999982</v>
      </c>
      <c r="HG288" s="81">
        <v>48.224738666666667</v>
      </c>
      <c r="HI288" s="81">
        <v>71.980079999999987</v>
      </c>
      <c r="HJ288" s="81">
        <v>36.679341999999998</v>
      </c>
    </row>
    <row r="289" spans="1:218">
      <c r="A289" s="81" t="s">
        <v>829</v>
      </c>
      <c r="C289" s="81" t="s">
        <v>716</v>
      </c>
      <c r="E289" s="81" t="s">
        <v>129</v>
      </c>
      <c r="F289" s="81" t="s">
        <v>767</v>
      </c>
      <c r="GX289" s="81">
        <v>10.13805387951021</v>
      </c>
      <c r="GZ289" s="81">
        <v>1.2971127071178266</v>
      </c>
      <c r="HA289" s="81">
        <v>0.224966709976538</v>
      </c>
      <c r="HB289" s="81">
        <v>17.181636692815328</v>
      </c>
      <c r="HC289" s="81">
        <v>69.998280000000008</v>
      </c>
      <c r="HE289" s="81">
        <v>59.584592000000008</v>
      </c>
      <c r="HF289" s="81">
        <v>98.147108000000003</v>
      </c>
      <c r="HG289" s="81">
        <v>52.061357333333341</v>
      </c>
      <c r="HI289" s="81">
        <v>77.949439999999996</v>
      </c>
      <c r="HJ289" s="81">
        <v>39.176335999999999</v>
      </c>
    </row>
    <row r="290" spans="1:218">
      <c r="A290" s="81" t="s">
        <v>830</v>
      </c>
      <c r="C290" s="81" t="s">
        <v>717</v>
      </c>
      <c r="E290" s="81" t="s">
        <v>129</v>
      </c>
      <c r="F290" s="81" t="s">
        <v>767</v>
      </c>
      <c r="GX290" s="81">
        <v>8.6415990131083404</v>
      </c>
      <c r="GZ290" s="81">
        <v>1.136694604913709</v>
      </c>
      <c r="HA290" s="81">
        <v>0.21760746230701977</v>
      </c>
      <c r="HB290" s="81">
        <v>17.407843315803166</v>
      </c>
      <c r="HC290" s="81">
        <v>60.102730000000001</v>
      </c>
      <c r="HE290" s="81">
        <v>63.215944000000007</v>
      </c>
      <c r="HF290" s="81">
        <v>91.438560333333314</v>
      </c>
      <c r="HG290" s="81">
        <v>41.086488000000003</v>
      </c>
      <c r="HI290" s="81">
        <v>72.903040000000004</v>
      </c>
      <c r="HJ290" s="81">
        <v>37.124685333333339</v>
      </c>
    </row>
    <row r="291" spans="1:218">
      <c r="A291" s="81" t="s">
        <v>831</v>
      </c>
      <c r="C291" s="81" t="s">
        <v>718</v>
      </c>
      <c r="E291" s="81" t="s">
        <v>129</v>
      </c>
      <c r="F291" s="81" t="s">
        <v>767</v>
      </c>
      <c r="GX291" s="81">
        <v>7.3669078451510357</v>
      </c>
      <c r="GZ291" s="81">
        <v>1.0942200990857689</v>
      </c>
      <c r="HA291" s="81">
        <v>0.1912769817704344</v>
      </c>
      <c r="HB291" s="81">
        <v>15.706058770204807</v>
      </c>
      <c r="HC291" s="81">
        <v>61.576965000000008</v>
      </c>
      <c r="HE291" s="81">
        <v>128.88441333333336</v>
      </c>
      <c r="HF291" s="81">
        <v>84.596656666666661</v>
      </c>
      <c r="HG291" s="81">
        <v>39.565597333333336</v>
      </c>
      <c r="HI291" s="81">
        <v>76.452119999999994</v>
      </c>
      <c r="HJ291" s="81">
        <v>34.990108666666664</v>
      </c>
    </row>
    <row r="292" spans="1:218">
      <c r="A292" s="81" t="s">
        <v>832</v>
      </c>
      <c r="C292" s="81" t="s">
        <v>719</v>
      </c>
      <c r="E292" s="81" t="s">
        <v>129</v>
      </c>
      <c r="F292" s="81" t="s">
        <v>767</v>
      </c>
      <c r="GX292" s="81">
        <v>9.3365463055034699</v>
      </c>
      <c r="GZ292" s="81">
        <v>1.2803944422161093</v>
      </c>
      <c r="HA292" s="81">
        <v>0.2076881508582514</v>
      </c>
      <c r="HB292" s="81">
        <v>17.04958388429888</v>
      </c>
      <c r="HC292" s="81">
        <v>65.044735000000003</v>
      </c>
      <c r="HE292" s="81">
        <v>58.395430666666662</v>
      </c>
      <c r="HF292" s="81">
        <v>89.404881333333321</v>
      </c>
      <c r="HG292" s="81">
        <v>57.953853333333335</v>
      </c>
      <c r="HI292" s="81">
        <v>77.404960000000003</v>
      </c>
      <c r="HJ292" s="81">
        <v>39.191692666666668</v>
      </c>
    </row>
    <row r="293" spans="1:218">
      <c r="A293" s="81" t="s">
        <v>833</v>
      </c>
      <c r="C293" s="81" t="s">
        <v>720</v>
      </c>
      <c r="E293" s="81" t="s">
        <v>129</v>
      </c>
      <c r="F293" s="81" t="s">
        <v>767</v>
      </c>
      <c r="GX293" s="81">
        <v>8.7572968598344776</v>
      </c>
      <c r="GZ293" s="81">
        <v>1.1494291074443981</v>
      </c>
      <c r="HA293" s="81">
        <v>0.21377625574848924</v>
      </c>
      <c r="HB293" s="81">
        <v>16.526716175427868</v>
      </c>
      <c r="HC293" s="81">
        <v>57.679330000000014</v>
      </c>
      <c r="HE293" s="81">
        <v>99.018520000000009</v>
      </c>
      <c r="HF293" s="81">
        <v>78.202977333333322</v>
      </c>
      <c r="HG293" s="81">
        <v>48.973719999999993</v>
      </c>
      <c r="HI293" s="81">
        <v>71.73772000000001</v>
      </c>
      <c r="HJ293" s="81">
        <v>37.849520000000005</v>
      </c>
    </row>
    <row r="294" spans="1:218">
      <c r="A294" s="81" t="s">
        <v>834</v>
      </c>
      <c r="C294" s="81" t="s">
        <v>721</v>
      </c>
      <c r="E294" s="81" t="s">
        <v>129</v>
      </c>
      <c r="F294" s="81" t="s">
        <v>767</v>
      </c>
      <c r="GX294" s="81">
        <v>8.4323633754002447</v>
      </c>
      <c r="GZ294" s="81">
        <v>1.2457014687979402</v>
      </c>
      <c r="HA294" s="81">
        <v>0.24022089117581599</v>
      </c>
      <c r="HB294" s="81">
        <v>16.246016656423041</v>
      </c>
      <c r="HC294" s="81">
        <v>68.512505000000019</v>
      </c>
      <c r="HE294" s="81">
        <v>93.708351999999991</v>
      </c>
      <c r="HF294" s="81">
        <v>92.557268999999977</v>
      </c>
      <c r="HG294" s="81">
        <v>54.996141333333334</v>
      </c>
      <c r="HI294" s="81">
        <v>84.337119999999999</v>
      </c>
      <c r="HJ294" s="81">
        <v>35.318741333333335</v>
      </c>
    </row>
    <row r="295" spans="1:218">
      <c r="A295" s="81" t="s">
        <v>835</v>
      </c>
      <c r="C295" s="81" t="s">
        <v>722</v>
      </c>
      <c r="E295" s="81" t="s">
        <v>129</v>
      </c>
      <c r="F295" s="81" t="s">
        <v>767</v>
      </c>
      <c r="GX295" s="81">
        <v>6.5696264993198668</v>
      </c>
      <c r="GZ295" s="81">
        <v>1.2453778307640859</v>
      </c>
      <c r="HA295" s="81">
        <v>0.21884959851570196</v>
      </c>
      <c r="HB295" s="81">
        <v>16.064109217897215</v>
      </c>
      <c r="HC295" s="81">
        <v>48.698325000000004</v>
      </c>
      <c r="HE295" s="81">
        <v>86.354407999999992</v>
      </c>
      <c r="HF295" s="81">
        <v>81.181261333333325</v>
      </c>
      <c r="HG295" s="81">
        <v>58.454448000000006</v>
      </c>
      <c r="HI295" s="81">
        <v>87.623919999999998</v>
      </c>
      <c r="HJ295" s="81">
        <v>41.504406666666668</v>
      </c>
    </row>
    <row r="296" spans="1:218">
      <c r="A296" s="81" t="s">
        <v>836</v>
      </c>
      <c r="C296" s="81" t="s">
        <v>723</v>
      </c>
      <c r="E296" s="81" t="s">
        <v>129</v>
      </c>
      <c r="F296" s="81" t="s">
        <v>767</v>
      </c>
      <c r="GX296" s="81">
        <v>7.1701827440819343</v>
      </c>
      <c r="GY296" s="81">
        <v>0.3146827306722903</v>
      </c>
      <c r="GZ296" s="81">
        <v>0.96238111225781842</v>
      </c>
      <c r="HA296" s="81">
        <v>0.19380710328326053</v>
      </c>
      <c r="HB296" s="81">
        <v>15.565914323838429</v>
      </c>
      <c r="HC296" s="81">
        <v>52.705590000000008</v>
      </c>
      <c r="HE296" s="81">
        <v>130.85519733333331</v>
      </c>
      <c r="HF296" s="81">
        <v>91.731202666666661</v>
      </c>
      <c r="HG296" s="81">
        <v>45.916653333333336</v>
      </c>
      <c r="HI296" s="81">
        <v>75.363159999999993</v>
      </c>
      <c r="HJ296" s="81">
        <v>34.385055999999999</v>
      </c>
    </row>
    <row r="297" spans="1:218">
      <c r="A297" s="81" t="s">
        <v>837</v>
      </c>
      <c r="C297" s="81" t="s">
        <v>724</v>
      </c>
      <c r="E297" s="81" t="s">
        <v>765</v>
      </c>
      <c r="F297" s="81" t="s">
        <v>767</v>
      </c>
      <c r="GX297" s="81">
        <v>7.6170151023077004</v>
      </c>
      <c r="GZ297" s="81">
        <v>1.2849839594308188</v>
      </c>
      <c r="HA297" s="81">
        <v>0.19985871603629413</v>
      </c>
      <c r="HB297" s="81">
        <v>18.019573192836162</v>
      </c>
      <c r="HC297" s="81">
        <v>43.404350000000001</v>
      </c>
      <c r="HE297" s="81">
        <v>56.302993333333326</v>
      </c>
      <c r="HF297" s="81">
        <v>94.902111999999988</v>
      </c>
      <c r="HG297" s="81">
        <v>50.513717333333339</v>
      </c>
      <c r="HI297" s="81">
        <v>88.10199999999999</v>
      </c>
      <c r="HJ297" s="81">
        <v>30.327824666666668</v>
      </c>
    </row>
    <row r="298" spans="1:218">
      <c r="A298" s="81" t="s">
        <v>838</v>
      </c>
      <c r="C298" s="81" t="s">
        <v>725</v>
      </c>
      <c r="E298" s="81" t="s">
        <v>129</v>
      </c>
      <c r="F298" s="81" t="s">
        <v>767</v>
      </c>
      <c r="GX298" s="81">
        <v>6.3650860680151409</v>
      </c>
      <c r="GZ298" s="81">
        <v>1.0702242443015126</v>
      </c>
      <c r="HA298" s="81">
        <v>0.22740326190678919</v>
      </c>
      <c r="HB298" s="81">
        <v>15.325163014851427</v>
      </c>
      <c r="HC298" s="81">
        <v>43.940959999999997</v>
      </c>
      <c r="HE298" s="81">
        <v>71.835082666666679</v>
      </c>
      <c r="HF298" s="81">
        <v>86.630335666666653</v>
      </c>
      <c r="HG298" s="81">
        <v>52.01932266666666</v>
      </c>
      <c r="HI298" s="81">
        <v>79.031760000000006</v>
      </c>
      <c r="HJ298" s="81">
        <v>33.908999333333334</v>
      </c>
    </row>
    <row r="299" spans="1:218">
      <c r="A299" s="81" t="s">
        <v>839</v>
      </c>
      <c r="C299" s="81" t="s">
        <v>726</v>
      </c>
      <c r="E299" s="81" t="s">
        <v>129</v>
      </c>
      <c r="F299" s="81" t="s">
        <v>767</v>
      </c>
      <c r="GX299" s="81">
        <v>8.6820617369490432</v>
      </c>
      <c r="GZ299" s="81">
        <v>1.4648840474619569</v>
      </c>
      <c r="HA299" s="81">
        <v>0.21994295908809003</v>
      </c>
      <c r="HB299" s="81">
        <v>18.331953580991392</v>
      </c>
      <c r="HC299" s="81">
        <v>48.819494999999996</v>
      </c>
      <c r="HE299" s="81">
        <v>161.41755599999999</v>
      </c>
      <c r="HF299" s="81">
        <v>109.69351499999999</v>
      </c>
      <c r="HG299" s="81">
        <v>53.639568000000004</v>
      </c>
      <c r="HI299" s="81">
        <v>96.813679999999991</v>
      </c>
      <c r="HJ299" s="81">
        <v>42.278382666666666</v>
      </c>
    </row>
    <row r="300" spans="1:218">
      <c r="A300" s="81" t="s">
        <v>840</v>
      </c>
      <c r="C300" s="81" t="s">
        <v>727</v>
      </c>
      <c r="E300" s="81" t="s">
        <v>129</v>
      </c>
      <c r="F300" s="81" t="s">
        <v>767</v>
      </c>
      <c r="GX300" s="81">
        <v>10.020699588331803</v>
      </c>
      <c r="GZ300" s="81">
        <v>1.2198252144707626</v>
      </c>
      <c r="HA300" s="81">
        <v>0.2282580200436112</v>
      </c>
      <c r="HB300" s="81">
        <v>16.645507566223298</v>
      </c>
      <c r="HC300" s="81">
        <v>51.606404999999995</v>
      </c>
      <c r="HE300" s="81">
        <v>97.789821333333336</v>
      </c>
      <c r="HF300" s="81">
        <v>100.42897733333332</v>
      </c>
      <c r="HG300" s="81">
        <v>66.697063999999997</v>
      </c>
      <c r="HI300" s="81">
        <v>81.080200000000005</v>
      </c>
      <c r="HJ300" s="81">
        <v>37.437961333333334</v>
      </c>
    </row>
    <row r="301" spans="1:218">
      <c r="A301" s="81" t="s">
        <v>841</v>
      </c>
      <c r="C301" s="81" t="s">
        <v>728</v>
      </c>
      <c r="E301" s="81" t="s">
        <v>129</v>
      </c>
      <c r="F301" s="81" t="s">
        <v>767</v>
      </c>
      <c r="GX301" s="81">
        <v>8.4839605769873554</v>
      </c>
      <c r="GZ301" s="81">
        <v>1.1475919354771764</v>
      </c>
      <c r="HA301" s="81">
        <v>0.24363618093980097</v>
      </c>
      <c r="HB301" s="81">
        <v>16.520630684287358</v>
      </c>
      <c r="HC301" s="81">
        <v>52.636350000000014</v>
      </c>
      <c r="HE301" s="81">
        <v>58.042635999999995</v>
      </c>
      <c r="HF301" s="81">
        <v>84.285492666666656</v>
      </c>
      <c r="HG301" s="81">
        <v>57.808642666666664</v>
      </c>
      <c r="HI301" s="81">
        <v>84.463279999999997</v>
      </c>
      <c r="HJ301" s="81">
        <v>33.746218666666664</v>
      </c>
    </row>
    <row r="302" spans="1:218">
      <c r="A302" s="81" t="s">
        <v>842</v>
      </c>
      <c r="C302" s="81" t="s">
        <v>729</v>
      </c>
      <c r="E302" s="81" t="s">
        <v>129</v>
      </c>
      <c r="F302" s="81" t="s">
        <v>767</v>
      </c>
      <c r="GX302" s="81">
        <v>7.7465569860429726</v>
      </c>
      <c r="GZ302" s="81">
        <v>1.3867280218136713</v>
      </c>
      <c r="HA302" s="81">
        <v>0.19715549079570438</v>
      </c>
      <c r="HB302" s="81">
        <v>17.397247787598179</v>
      </c>
      <c r="HC302" s="81">
        <v>56.87153</v>
      </c>
      <c r="HE302" s="81">
        <v>74.043090666666657</v>
      </c>
      <c r="HF302" s="81">
        <v>100.14003933333332</v>
      </c>
      <c r="HG302" s="81">
        <v>56.043186666666678</v>
      </c>
      <c r="HI302" s="81">
        <v>89.728800000000021</v>
      </c>
      <c r="HJ302" s="81">
        <v>37.23525333333334</v>
      </c>
    </row>
    <row r="303" spans="1:218">
      <c r="A303" s="81" t="s">
        <v>843</v>
      </c>
      <c r="C303" s="81" t="s">
        <v>730</v>
      </c>
      <c r="E303" s="81" t="s">
        <v>129</v>
      </c>
      <c r="F303" s="81" t="s">
        <v>767</v>
      </c>
      <c r="GX303" s="81">
        <v>5.4312728097562966</v>
      </c>
      <c r="GY303" s="81">
        <v>0.38273099049117504</v>
      </c>
      <c r="GZ303" s="81">
        <v>1.2072801169757035</v>
      </c>
      <c r="HA303" s="81">
        <v>0.17639661105354329</v>
      </c>
      <c r="HB303" s="81">
        <v>16.737286208706195</v>
      </c>
      <c r="HC303" s="81">
        <v>52.339194999999997</v>
      </c>
      <c r="HE303" s="81">
        <v>59.237879999999997</v>
      </c>
      <c r="HF303" s="81">
        <v>110.03801799999998</v>
      </c>
      <c r="HG303" s="81">
        <v>33.183970666666674</v>
      </c>
      <c r="HI303" s="81">
        <v>81.747519999999994</v>
      </c>
      <c r="HJ303" s="81">
        <v>24.351010000000002</v>
      </c>
    </row>
    <row r="304" spans="1:218">
      <c r="A304" s="81" t="s">
        <v>844</v>
      </c>
      <c r="C304" s="81" t="s">
        <v>731</v>
      </c>
      <c r="E304" s="81" t="s">
        <v>129</v>
      </c>
      <c r="F304" s="81" t="s">
        <v>767</v>
      </c>
      <c r="GX304" s="81">
        <v>5.7256613750426224</v>
      </c>
      <c r="GY304" s="81">
        <v>0.3180501993003732</v>
      </c>
      <c r="GZ304" s="81">
        <v>1.1567453746315104</v>
      </c>
      <c r="HA304" s="81">
        <v>0.1329915530886846</v>
      </c>
      <c r="HB304" s="81">
        <v>11.990955993416241</v>
      </c>
      <c r="HC304" s="81">
        <v>72.352440000000001</v>
      </c>
      <c r="HD304" s="81">
        <v>223.26803800000002</v>
      </c>
      <c r="HE304" s="81">
        <v>73.109401333333338</v>
      </c>
      <c r="HF304" s="81">
        <v>87.456401999999983</v>
      </c>
      <c r="HG304" s="81">
        <v>38.755474666666665</v>
      </c>
      <c r="HI304" s="81">
        <v>56.5122</v>
      </c>
      <c r="HJ304" s="81">
        <v>31.193940666666666</v>
      </c>
    </row>
    <row r="305" spans="1:218">
      <c r="A305" s="81" t="s">
        <v>845</v>
      </c>
      <c r="C305" s="81" t="s">
        <v>732</v>
      </c>
      <c r="E305" s="81" t="s">
        <v>129</v>
      </c>
      <c r="F305" s="81" t="s">
        <v>767</v>
      </c>
      <c r="GX305" s="81">
        <v>8.3075488255803869</v>
      </c>
      <c r="GZ305" s="81">
        <v>0.97808864818561858</v>
      </c>
      <c r="HA305" s="81">
        <v>0.21500622791143667</v>
      </c>
      <c r="HB305" s="81">
        <v>13.937789475290069</v>
      </c>
      <c r="HC305" s="81">
        <v>74.331550000000007</v>
      </c>
      <c r="HD305" s="81">
        <v>239.32967999999997</v>
      </c>
      <c r="HE305" s="81">
        <v>68.659930666666682</v>
      </c>
      <c r="HF305" s="81">
        <v>75.317301666666651</v>
      </c>
      <c r="HG305" s="81">
        <v>56.272466666666674</v>
      </c>
      <c r="HI305" s="81">
        <v>48.301839999999999</v>
      </c>
      <c r="HJ305" s="81">
        <v>27.305632666666668</v>
      </c>
    </row>
    <row r="306" spans="1:218">
      <c r="A306" s="81" t="s">
        <v>846</v>
      </c>
      <c r="C306" s="81" t="s">
        <v>733</v>
      </c>
      <c r="E306" s="81" t="s">
        <v>129</v>
      </c>
      <c r="F306" s="81" t="s">
        <v>767</v>
      </c>
      <c r="GX306" s="81">
        <v>10.280406295743715</v>
      </c>
      <c r="GZ306" s="81">
        <v>1.0546668673208786</v>
      </c>
      <c r="HA306" s="81">
        <v>0.27804078075677702</v>
      </c>
      <c r="HB306" s="81">
        <v>16.138006285319026</v>
      </c>
      <c r="HC306" s="81">
        <v>62.901180000000004</v>
      </c>
      <c r="HD306" s="81">
        <v>268.71579400000002</v>
      </c>
      <c r="HE306" s="81">
        <v>61.573623999999995</v>
      </c>
      <c r="HF306" s="81">
        <v>83.270505333333332</v>
      </c>
      <c r="HG306" s="81">
        <v>66.739098666666678</v>
      </c>
      <c r="HI306" s="81">
        <v>53.919280000000008</v>
      </c>
      <c r="HJ306" s="81">
        <v>26.703651333333337</v>
      </c>
    </row>
    <row r="307" spans="1:218">
      <c r="A307" s="81" t="s">
        <v>847</v>
      </c>
      <c r="C307" s="81" t="s">
        <v>734</v>
      </c>
      <c r="E307" s="81" t="s">
        <v>129</v>
      </c>
      <c r="F307" s="81" t="s">
        <v>767</v>
      </c>
      <c r="GX307" s="81">
        <v>9.5906895292059229</v>
      </c>
      <c r="GZ307" s="81">
        <v>1.024757935208066</v>
      </c>
      <c r="HA307" s="81">
        <v>0.18074011107667151</v>
      </c>
      <c r="HB307" s="81">
        <v>14.462735765540662</v>
      </c>
      <c r="HC307" s="81">
        <v>66.366065000000006</v>
      </c>
      <c r="HD307" s="81">
        <v>339.20597199999997</v>
      </c>
      <c r="HE307" s="81">
        <v>17.091082666666665</v>
      </c>
      <c r="HF307" s="81">
        <v>74.976502999999994</v>
      </c>
      <c r="HG307" s="81">
        <v>53.452322666666674</v>
      </c>
      <c r="HI307" s="81">
        <v>47.312480000000001</v>
      </c>
      <c r="HJ307" s="81">
        <v>26.479444000000001</v>
      </c>
    </row>
    <row r="308" spans="1:218">
      <c r="A308" s="81" t="s">
        <v>848</v>
      </c>
      <c r="C308" s="81" t="s">
        <v>735</v>
      </c>
      <c r="E308" s="81" t="s">
        <v>129</v>
      </c>
      <c r="F308" s="81" t="s">
        <v>767</v>
      </c>
      <c r="GX308" s="81">
        <v>9.7671509322224193</v>
      </c>
      <c r="GZ308" s="81">
        <v>0.7681345881495184</v>
      </c>
      <c r="HA308" s="81">
        <v>0.15336445830272419</v>
      </c>
      <c r="HB308" s="81">
        <v>13.521526023959723</v>
      </c>
      <c r="HC308" s="81">
        <v>69.553990000000013</v>
      </c>
      <c r="HD308" s="81">
        <v>321.326706</v>
      </c>
      <c r="HE308" s="81">
        <v>139.52603866666666</v>
      </c>
      <c r="HF308" s="81">
        <v>71.509246999999988</v>
      </c>
      <c r="HG308" s="81">
        <v>60.292509333333335</v>
      </c>
      <c r="HI308" s="81">
        <v>40.360399999999998</v>
      </c>
      <c r="HJ308" s="81">
        <v>24.492291333333338</v>
      </c>
    </row>
    <row r="309" spans="1:218">
      <c r="A309" s="81" t="s">
        <v>849</v>
      </c>
      <c r="C309" s="81" t="s">
        <v>736</v>
      </c>
      <c r="E309" s="81" t="s">
        <v>129</v>
      </c>
      <c r="F309" s="81" t="s">
        <v>767</v>
      </c>
      <c r="GX309" s="81">
        <v>7.234158217096109</v>
      </c>
      <c r="GZ309" s="81">
        <v>0.77109624586881365</v>
      </c>
      <c r="HA309" s="81">
        <v>0.18378346174992111</v>
      </c>
      <c r="HB309" s="81">
        <v>13.180502128566422</v>
      </c>
      <c r="HC309" s="81">
        <v>66.570900000000009</v>
      </c>
      <c r="HD309" s="81">
        <v>337.470642</v>
      </c>
      <c r="HE309" s="81">
        <v>16.999842666666666</v>
      </c>
      <c r="HF309" s="81">
        <v>66.79733499999999</v>
      </c>
      <c r="HG309" s="81">
        <v>35.488234666666671</v>
      </c>
      <c r="HI309" s="81">
        <v>36.890999999999998</v>
      </c>
      <c r="HJ309" s="81">
        <v>23.50025066666667</v>
      </c>
    </row>
    <row r="310" spans="1:218">
      <c r="A310" s="81" t="s">
        <v>850</v>
      </c>
      <c r="C310" s="81" t="s">
        <v>737</v>
      </c>
      <c r="E310" s="81" t="s">
        <v>129</v>
      </c>
      <c r="F310" s="81" t="s">
        <v>767</v>
      </c>
      <c r="GX310" s="81">
        <v>11.877705250055415</v>
      </c>
      <c r="GZ310" s="81">
        <v>0.95834900325607419</v>
      </c>
      <c r="HA310" s="81">
        <v>0.22995490442360755</v>
      </c>
      <c r="HB310" s="81">
        <v>11.432472940304061</v>
      </c>
      <c r="HC310" s="81">
        <v>105.203935</v>
      </c>
      <c r="HD310" s="81">
        <v>281.20301399999994</v>
      </c>
      <c r="HE310" s="81">
        <v>32.008822666666667</v>
      </c>
      <c r="HF310" s="81">
        <v>67.212220333333335</v>
      </c>
      <c r="HG310" s="81">
        <v>42.989512000000012</v>
      </c>
      <c r="HI310" s="81">
        <v>51.565400000000004</v>
      </c>
      <c r="HJ310" s="81">
        <v>26.166167999999999</v>
      </c>
    </row>
    <row r="311" spans="1:218">
      <c r="A311" s="81" t="s">
        <v>851</v>
      </c>
      <c r="C311" s="81" t="s">
        <v>738</v>
      </c>
      <c r="E311" s="81" t="s">
        <v>129</v>
      </c>
      <c r="F311" s="81" t="s">
        <v>767</v>
      </c>
      <c r="GX311" s="81">
        <v>9.4991707645979044</v>
      </c>
      <c r="GZ311" s="81">
        <v>0.93105533947307106</v>
      </c>
      <c r="HA311" s="81">
        <v>0.19247092964409052</v>
      </c>
      <c r="HB311" s="81">
        <v>12.328418354385425</v>
      </c>
      <c r="HC311" s="81">
        <v>89.818230000000014</v>
      </c>
      <c r="HD311" s="81">
        <v>362.19462199999998</v>
      </c>
      <c r="HE311" s="81">
        <v>71.938488000000007</v>
      </c>
      <c r="HF311" s="81">
        <v>85.519035666666653</v>
      </c>
      <c r="HG311" s="81">
        <v>59.004720000000013</v>
      </c>
      <c r="HI311" s="81">
        <v>47.206240000000001</v>
      </c>
      <c r="HJ311" s="81">
        <v>28.359100000000002</v>
      </c>
    </row>
    <row r="312" spans="1:218">
      <c r="A312" s="81" t="s">
        <v>852</v>
      </c>
      <c r="C312" s="81" t="s">
        <v>739</v>
      </c>
      <c r="E312" s="81" t="s">
        <v>129</v>
      </c>
      <c r="F312" s="81" t="s">
        <v>767</v>
      </c>
      <c r="GX312" s="81">
        <v>7.3698360383918455</v>
      </c>
      <c r="GZ312" s="81">
        <v>0.80882993796709624</v>
      </c>
      <c r="HA312" s="81">
        <v>0.17786939628327261</v>
      </c>
      <c r="HB312" s="81">
        <v>13.350747095772713</v>
      </c>
      <c r="HC312" s="81">
        <v>104.27496500000001</v>
      </c>
      <c r="HD312" s="81">
        <v>283.01348200000001</v>
      </c>
      <c r="HE312" s="81">
        <v>31.875003999999993</v>
      </c>
      <c r="HF312" s="81">
        <v>69.616332666666665</v>
      </c>
      <c r="HG312" s="81">
        <v>84.940109333333339</v>
      </c>
      <c r="HI312" s="81">
        <v>38.653919999999999</v>
      </c>
      <c r="HJ312" s="81">
        <v>24.326439333333337</v>
      </c>
    </row>
    <row r="313" spans="1:218">
      <c r="A313" s="81" t="s">
        <v>853</v>
      </c>
      <c r="C313" s="81" t="s">
        <v>740</v>
      </c>
      <c r="E313" s="81" t="s">
        <v>129</v>
      </c>
      <c r="F313" s="81" t="s">
        <v>767</v>
      </c>
      <c r="GX313" s="81">
        <v>8.3429454162877352</v>
      </c>
      <c r="GZ313" s="81">
        <v>0.75640057648271253</v>
      </c>
      <c r="HA313" s="81">
        <v>0.18427376636261372</v>
      </c>
      <c r="HB313" s="81">
        <v>13.876239093166754</v>
      </c>
      <c r="HC313" s="81">
        <v>111.32879000000001</v>
      </c>
      <c r="HD313" s="81">
        <v>260.58657800000003</v>
      </c>
      <c r="HE313" s="81">
        <v>29.274664000000001</v>
      </c>
      <c r="HF313" s="81">
        <v>73.965219999999988</v>
      </c>
      <c r="HG313" s="81">
        <v>46.91020000000001</v>
      </c>
      <c r="HI313" s="81">
        <v>39.898919999999997</v>
      </c>
      <c r="HJ313" s="81">
        <v>23.957879333333334</v>
      </c>
    </row>
    <row r="314" spans="1:218">
      <c r="A314" s="81" t="s">
        <v>854</v>
      </c>
      <c r="C314" s="81" t="s">
        <v>741</v>
      </c>
      <c r="E314" s="81" t="s">
        <v>129</v>
      </c>
      <c r="F314" s="81" t="s">
        <v>767</v>
      </c>
      <c r="GX314" s="81">
        <v>6.0610246181603173</v>
      </c>
      <c r="GZ314" s="81">
        <v>1.0473147667486471</v>
      </c>
      <c r="HA314" s="81">
        <v>0.15847569675087972</v>
      </c>
      <c r="HB314" s="81">
        <v>12.572986187412452</v>
      </c>
      <c r="HC314" s="81">
        <v>88.110309999999984</v>
      </c>
      <c r="HD314" s="81">
        <v>304.04854399999999</v>
      </c>
      <c r="HE314" s="81">
        <v>32.48327066666667</v>
      </c>
      <c r="HF314" s="81">
        <v>71.794480666666644</v>
      </c>
      <c r="HG314" s="81">
        <v>96.591354666666646</v>
      </c>
      <c r="HI314" s="81">
        <v>57.249240000000007</v>
      </c>
      <c r="HJ314" s="81">
        <v>27.720262666666667</v>
      </c>
    </row>
    <row r="315" spans="1:218">
      <c r="A315" s="81" t="s">
        <v>855</v>
      </c>
      <c r="C315" s="81" t="s">
        <v>742</v>
      </c>
      <c r="E315" s="81" t="s">
        <v>129</v>
      </c>
      <c r="F315" s="81" t="s">
        <v>767</v>
      </c>
      <c r="GX315" s="81">
        <v>9.8089838735898827</v>
      </c>
      <c r="GZ315" s="81">
        <v>1.2147198102671151</v>
      </c>
      <c r="HA315" s="81">
        <v>0.18574748728816892</v>
      </c>
      <c r="HB315" s="81">
        <v>13.466893152836883</v>
      </c>
      <c r="HC315" s="81">
        <v>98.603054999999998</v>
      </c>
      <c r="HD315" s="81">
        <v>288.08350799999994</v>
      </c>
      <c r="HE315" s="81">
        <v>72.680573333333328</v>
      </c>
      <c r="HF315" s="81">
        <v>83.263096666666669</v>
      </c>
      <c r="HG315" s="81">
        <v>64.637365333333335</v>
      </c>
      <c r="HI315" s="81">
        <v>58.554000000000002</v>
      </c>
      <c r="HJ315" s="81">
        <v>32.579112000000002</v>
      </c>
    </row>
    <row r="316" spans="1:218">
      <c r="A316" s="81" t="s">
        <v>856</v>
      </c>
      <c r="C316" s="81" t="s">
        <v>743</v>
      </c>
      <c r="E316" s="81" t="s">
        <v>129</v>
      </c>
      <c r="F316" s="81" t="s">
        <v>767</v>
      </c>
      <c r="GX316" s="81">
        <v>10.899080371097932</v>
      </c>
      <c r="GZ316" s="81">
        <v>1.4174673784070235</v>
      </c>
      <c r="HA316" s="81">
        <v>0.1584911357320046</v>
      </c>
      <c r="HB316" s="81">
        <v>12.820605086208332</v>
      </c>
      <c r="HC316" s="81">
        <v>86.933229999999995</v>
      </c>
      <c r="HD316" s="81">
        <v>379.06846999999999</v>
      </c>
      <c r="HE316" s="81">
        <v>91.49730266666667</v>
      </c>
      <c r="HF316" s="81">
        <v>86.863708666666653</v>
      </c>
      <c r="HG316" s="81">
        <v>69.265000000000015</v>
      </c>
      <c r="HI316" s="81">
        <v>68.148799999999994</v>
      </c>
      <c r="HJ316" s="81">
        <v>36.270854666666658</v>
      </c>
    </row>
    <row r="317" spans="1:218">
      <c r="A317" s="81" t="s">
        <v>857</v>
      </c>
      <c r="C317" s="81" t="s">
        <v>744</v>
      </c>
      <c r="E317" s="81" t="s">
        <v>129</v>
      </c>
      <c r="F317" s="81" t="s">
        <v>767</v>
      </c>
      <c r="GX317" s="81">
        <v>10.554350497877223</v>
      </c>
      <c r="GZ317" s="81">
        <v>1.0314684475514968</v>
      </c>
      <c r="HA317" s="81">
        <v>0.21621701830995632</v>
      </c>
      <c r="HB317" s="81">
        <v>14.041368606504571</v>
      </c>
      <c r="HC317" s="81">
        <v>78.710980000000006</v>
      </c>
      <c r="HD317" s="81">
        <v>343.94682200000005</v>
      </c>
      <c r="HE317" s="81">
        <v>70.597260000000006</v>
      </c>
      <c r="HF317" s="81">
        <v>80.329264666666646</v>
      </c>
      <c r="HG317" s="81">
        <v>68.752941333333339</v>
      </c>
      <c r="HI317" s="81">
        <v>53.09592</v>
      </c>
      <c r="HJ317" s="81">
        <v>28.266960000000001</v>
      </c>
    </row>
    <row r="318" spans="1:218">
      <c r="A318" s="81" t="s">
        <v>858</v>
      </c>
      <c r="C318" s="81" t="s">
        <v>745</v>
      </c>
      <c r="E318" s="81" t="s">
        <v>129</v>
      </c>
      <c r="F318" s="81" t="s">
        <v>767</v>
      </c>
      <c r="GX318" s="81">
        <v>10.366315680196497</v>
      </c>
      <c r="GZ318" s="81">
        <v>1.2598306294288235</v>
      </c>
      <c r="HA318" s="81">
        <v>0.16474485878340009</v>
      </c>
      <c r="HB318" s="81">
        <v>14.237289706589522</v>
      </c>
      <c r="HC318" s="81">
        <v>91.529035000000007</v>
      </c>
      <c r="HD318" s="81">
        <v>354.44467400000002</v>
      </c>
      <c r="HE318" s="81">
        <v>55.661271999999997</v>
      </c>
      <c r="HF318" s="81">
        <v>92.386869666666655</v>
      </c>
      <c r="HG318" s="81">
        <v>65.336669333333333</v>
      </c>
      <c r="HI318" s="81">
        <v>62.17944</v>
      </c>
      <c r="HJ318" s="81">
        <v>34.004210666666665</v>
      </c>
    </row>
    <row r="319" spans="1:218">
      <c r="A319" s="81" t="s">
        <v>859</v>
      </c>
      <c r="C319" s="81" t="s">
        <v>746</v>
      </c>
      <c r="E319" s="81" t="s">
        <v>129</v>
      </c>
      <c r="F319" s="81" t="s">
        <v>767</v>
      </c>
      <c r="GX319" s="81">
        <v>10.296382014039153</v>
      </c>
      <c r="GZ319" s="81">
        <v>1.2808671016293476</v>
      </c>
      <c r="HA319" s="81">
        <v>0.14316303456249244</v>
      </c>
      <c r="HB319" s="81">
        <v>13.051510663711213</v>
      </c>
      <c r="HC319" s="81">
        <v>88.009335000000007</v>
      </c>
      <c r="HD319" s="81">
        <v>362.06581399999999</v>
      </c>
      <c r="HE319" s="81">
        <v>98.300765333333345</v>
      </c>
      <c r="HF319" s="81">
        <v>83.681686333333332</v>
      </c>
      <c r="HG319" s="81">
        <v>69.345248000000012</v>
      </c>
      <c r="HI319" s="81">
        <v>62.122999999999998</v>
      </c>
      <c r="HJ319" s="81">
        <v>34.031852666666659</v>
      </c>
    </row>
    <row r="320" spans="1:218">
      <c r="A320" s="81" t="s">
        <v>860</v>
      </c>
      <c r="C320" s="81" t="s">
        <v>747</v>
      </c>
      <c r="E320" s="81" t="s">
        <v>129</v>
      </c>
      <c r="F320" s="81" t="s">
        <v>767</v>
      </c>
      <c r="GX320" s="81">
        <v>5.8258483092969557</v>
      </c>
      <c r="GZ320" s="81">
        <v>0.78171202840634457</v>
      </c>
      <c r="HA320" s="81">
        <v>0.20290580949284673</v>
      </c>
      <c r="HB320" s="81">
        <v>15.111335379109592</v>
      </c>
      <c r="HC320" s="81">
        <v>97.39135499999999</v>
      </c>
      <c r="HD320" s="81">
        <v>207.778876</v>
      </c>
      <c r="HE320" s="81">
        <v>271.99739466666671</v>
      </c>
      <c r="HF320" s="81">
        <v>69.09772599999998</v>
      </c>
      <c r="HG320" s="81">
        <v>46.447818666666677</v>
      </c>
      <c r="HI320" s="81">
        <v>42.740839999999992</v>
      </c>
      <c r="HJ320" s="81">
        <v>23.577034000000001</v>
      </c>
    </row>
    <row r="321" spans="1:218">
      <c r="A321" s="81" t="s">
        <v>861</v>
      </c>
      <c r="C321" s="81" t="s">
        <v>748</v>
      </c>
      <c r="E321" s="81" t="s">
        <v>129</v>
      </c>
      <c r="F321" s="81" t="s">
        <v>767</v>
      </c>
      <c r="GX321" s="81">
        <v>7.3576451079116518</v>
      </c>
      <c r="GZ321" s="81">
        <v>0.89545799966856077</v>
      </c>
      <c r="HA321" s="81">
        <v>0.14501711584121466</v>
      </c>
      <c r="HB321" s="81">
        <v>12.4854415471699</v>
      </c>
      <c r="HC321" s="81">
        <v>67.032500000000013</v>
      </c>
      <c r="HD321" s="81">
        <v>269.88579999999996</v>
      </c>
      <c r="HE321" s="81">
        <v>40.466770666666669</v>
      </c>
      <c r="HF321" s="81">
        <v>70.183095666666659</v>
      </c>
      <c r="HG321" s="81">
        <v>49.795306666666669</v>
      </c>
      <c r="HI321" s="81">
        <v>49.845640000000003</v>
      </c>
      <c r="HJ321" s="81">
        <v>27.508340666666665</v>
      </c>
    </row>
    <row r="322" spans="1:218">
      <c r="A322" s="81" t="s">
        <v>862</v>
      </c>
      <c r="C322" s="81" t="s">
        <v>749</v>
      </c>
      <c r="E322" s="81" t="s">
        <v>129</v>
      </c>
      <c r="F322" s="81" t="s">
        <v>767</v>
      </c>
      <c r="GX322" s="81">
        <v>11.375533460949748</v>
      </c>
      <c r="GZ322" s="81">
        <v>1.1133608145783211</v>
      </c>
      <c r="HA322" s="81">
        <v>0.22913570272816405</v>
      </c>
      <c r="HB322" s="81">
        <v>13.960126271989571</v>
      </c>
      <c r="HC322" s="81">
        <v>60.523940000000003</v>
      </c>
      <c r="HD322" s="81">
        <v>370.84622600000006</v>
      </c>
      <c r="HE322" s="81">
        <v>28.024675999999999</v>
      </c>
      <c r="HF322" s="81">
        <v>78.61045399999999</v>
      </c>
      <c r="HG322" s="81">
        <v>72.864696000000023</v>
      </c>
      <c r="HI322" s="81">
        <v>53.613840000000003</v>
      </c>
      <c r="HJ322" s="81">
        <v>27.176636666666667</v>
      </c>
    </row>
    <row r="323" spans="1:218">
      <c r="A323" s="81" t="s">
        <v>863</v>
      </c>
      <c r="C323" s="81" t="s">
        <v>750</v>
      </c>
      <c r="E323" s="81" t="s">
        <v>129</v>
      </c>
      <c r="F323" s="81" t="s">
        <v>767</v>
      </c>
      <c r="GX323" s="81">
        <v>5.0417638605894108</v>
      </c>
      <c r="GZ323" s="81">
        <v>0.97992297623338631</v>
      </c>
      <c r="HA323" s="81">
        <v>0.21605888571540469</v>
      </c>
      <c r="HB323" s="81">
        <v>13.264925226063747</v>
      </c>
      <c r="HC323" s="81">
        <v>81.740230000000011</v>
      </c>
      <c r="HD323" s="81">
        <v>342.70525599999996</v>
      </c>
      <c r="HE323" s="81">
        <v>39.116418666666668</v>
      </c>
      <c r="HF323" s="81">
        <v>88.126886333333331</v>
      </c>
      <c r="HG323" s="81">
        <v>27.467256000000006</v>
      </c>
      <c r="HI323" s="81">
        <v>47.458559999999999</v>
      </c>
      <c r="HJ323" s="81">
        <v>24.437007333333337</v>
      </c>
    </row>
    <row r="324" spans="1:218">
      <c r="A324" s="81" t="s">
        <v>864</v>
      </c>
      <c r="C324" s="81" t="s">
        <v>751</v>
      </c>
      <c r="E324" s="81" t="s">
        <v>129</v>
      </c>
      <c r="F324" s="81" t="s">
        <v>767</v>
      </c>
      <c r="GX324" s="81">
        <v>3.1885338073918859</v>
      </c>
      <c r="GY324" s="81">
        <v>0.41503653591337186</v>
      </c>
      <c r="GZ324" s="81">
        <v>0.99448668775682625</v>
      </c>
      <c r="HA324" s="81">
        <v>5.4936275152590697E-2</v>
      </c>
      <c r="HB324" s="81">
        <v>15.446677557706193</v>
      </c>
      <c r="HC324" s="81">
        <v>60.088305000000013</v>
      </c>
      <c r="HD324" s="81">
        <v>316.93649999999997</v>
      </c>
      <c r="HE324" s="81">
        <v>48.404650666666662</v>
      </c>
      <c r="HF324" s="81">
        <v>75.621056999999993</v>
      </c>
      <c r="HG324" s="81">
        <v>50.700962666666669</v>
      </c>
      <c r="HI324" s="81">
        <v>45.672400000000003</v>
      </c>
      <c r="HJ324" s="81">
        <v>28.399027333333336</v>
      </c>
    </row>
    <row r="325" spans="1:218">
      <c r="A325" s="81" t="s">
        <v>865</v>
      </c>
      <c r="C325" s="81" t="s">
        <v>752</v>
      </c>
      <c r="E325" s="81" t="s">
        <v>768</v>
      </c>
      <c r="F325" s="81" t="s">
        <v>767</v>
      </c>
      <c r="GX325" s="81">
        <v>2.2926660615428811</v>
      </c>
      <c r="GZ325" s="81">
        <v>0.91682834801297342</v>
      </c>
      <c r="HA325" s="81">
        <v>4.4319402465726243E-2</v>
      </c>
      <c r="HB325" s="81">
        <v>14.192059638731237</v>
      </c>
      <c r="HC325" s="81">
        <v>34.925335000000004</v>
      </c>
      <c r="HD325" s="81">
        <v>364.50601</v>
      </c>
      <c r="HE325" s="81">
        <v>52.382714666666665</v>
      </c>
      <c r="HF325" s="81">
        <v>59.429416000000003</v>
      </c>
      <c r="HG325" s="81">
        <v>40.490360000000003</v>
      </c>
      <c r="HI325" s="81">
        <v>40.280719999999995</v>
      </c>
      <c r="HJ325" s="81">
        <v>20.465773333333335</v>
      </c>
    </row>
    <row r="326" spans="1:218">
      <c r="A326" s="81" t="s">
        <v>866</v>
      </c>
      <c r="C326" s="81" t="s">
        <v>753</v>
      </c>
      <c r="E326" s="81" t="s">
        <v>766</v>
      </c>
      <c r="F326" s="81" t="s">
        <v>767</v>
      </c>
      <c r="GX326" s="81">
        <v>1.2433139251564649</v>
      </c>
      <c r="GY326" s="81">
        <v>2.1736207333072426</v>
      </c>
      <c r="GZ326" s="81">
        <v>0.50597071721087594</v>
      </c>
      <c r="HA326" s="81">
        <v>0.10925201429359906</v>
      </c>
      <c r="HB326" s="81">
        <v>9.5374919149504276</v>
      </c>
      <c r="HC326" s="81">
        <v>29.865044999999999</v>
      </c>
      <c r="HE326" s="81">
        <v>92.318462666666676</v>
      </c>
      <c r="HF326" s="81">
        <v>35.280866999999994</v>
      </c>
      <c r="HG326" s="81">
        <v>37.796320000000001</v>
      </c>
      <c r="HH326" s="81">
        <v>141.71506199999999</v>
      </c>
      <c r="HI326" s="81">
        <v>167.46992</v>
      </c>
      <c r="HJ326" s="81">
        <v>31.743709333333339</v>
      </c>
    </row>
    <row r="327" spans="1:218">
      <c r="A327" s="81" t="s">
        <v>867</v>
      </c>
      <c r="C327" s="81" t="s">
        <v>754</v>
      </c>
      <c r="E327" s="81" t="s">
        <v>434</v>
      </c>
      <c r="F327" s="81" t="s">
        <v>767</v>
      </c>
      <c r="GX327" s="81">
        <v>1.0645468516001149</v>
      </c>
      <c r="GY327" s="81">
        <v>2.5565691300597226</v>
      </c>
      <c r="GZ327" s="81">
        <v>0.97205498867221662</v>
      </c>
      <c r="HA327" s="81">
        <v>9.1814854732847936E-2</v>
      </c>
      <c r="HB327" s="81">
        <v>7.5753644397800182</v>
      </c>
      <c r="HC327" s="81">
        <v>48.58292500000001</v>
      </c>
      <c r="HE327" s="81">
        <v>212.03750799999997</v>
      </c>
      <c r="HF327" s="81">
        <v>71.046205333333319</v>
      </c>
      <c r="HG327" s="81">
        <v>34.628434666666664</v>
      </c>
      <c r="HH327" s="81">
        <v>134.05310399999999</v>
      </c>
      <c r="HI327" s="81">
        <v>181.76584</v>
      </c>
      <c r="HJ327" s="81">
        <v>37.351964000000002</v>
      </c>
    </row>
    <row r="328" spans="1:218">
      <c r="A328" s="81" t="s">
        <v>868</v>
      </c>
      <c r="C328" s="81" t="s">
        <v>755</v>
      </c>
      <c r="E328" s="81" t="s">
        <v>434</v>
      </c>
      <c r="F328" s="81" t="s">
        <v>767</v>
      </c>
      <c r="GX328" s="81">
        <v>1.7030874121307302</v>
      </c>
      <c r="GY328" s="81">
        <v>2.3595251204882195</v>
      </c>
      <c r="GZ328" s="81">
        <v>0.75915462808187273</v>
      </c>
      <c r="HA328" s="81">
        <v>0.10379550408574201</v>
      </c>
      <c r="HB328" s="81">
        <v>4.3760410520789685</v>
      </c>
      <c r="HC328" s="81">
        <v>29.36017</v>
      </c>
      <c r="HE328" s="81">
        <v>49.067661333333341</v>
      </c>
      <c r="HF328" s="81">
        <v>55.262041000000004</v>
      </c>
      <c r="HG328" s="81">
        <v>52.363242666666672</v>
      </c>
      <c r="HH328" s="81">
        <v>131.48074399999999</v>
      </c>
      <c r="HI328" s="81">
        <v>236.33336</v>
      </c>
      <c r="HJ328" s="81">
        <v>29.004079999999998</v>
      </c>
    </row>
    <row r="329" spans="1:218">
      <c r="A329" s="81" t="s">
        <v>869</v>
      </c>
      <c r="C329" s="81" t="s">
        <v>756</v>
      </c>
      <c r="E329" s="81" t="s">
        <v>434</v>
      </c>
      <c r="F329" s="81" t="s">
        <v>767</v>
      </c>
      <c r="GX329" s="81">
        <v>1.8969293819239681</v>
      </c>
      <c r="GY329" s="81">
        <v>2.2314908587574025</v>
      </c>
      <c r="GZ329" s="81">
        <v>0.52108671789226391</v>
      </c>
      <c r="HA329" s="81">
        <v>0.14773718360666788</v>
      </c>
      <c r="HB329" s="81">
        <v>5.6619908812865889</v>
      </c>
      <c r="HC329" s="81">
        <v>31.270039999999998</v>
      </c>
      <c r="HE329" s="81">
        <v>174.52266133333333</v>
      </c>
      <c r="HF329" s="81">
        <v>40.003891999999993</v>
      </c>
      <c r="HG329" s="81">
        <v>42.821373333333334</v>
      </c>
      <c r="HH329" s="81">
        <v>116.14151633333331</v>
      </c>
      <c r="HI329" s="81">
        <v>144.00415999999998</v>
      </c>
      <c r="HJ329" s="81">
        <v>25.091201333333334</v>
      </c>
    </row>
    <row r="330" spans="1:218">
      <c r="A330" s="81" t="s">
        <v>870</v>
      </c>
      <c r="C330" s="81" t="s">
        <v>757</v>
      </c>
      <c r="E330" s="81" t="s">
        <v>434</v>
      </c>
      <c r="F330" s="81" t="s">
        <v>767</v>
      </c>
      <c r="GX330" s="81">
        <v>0.97336897241212128</v>
      </c>
      <c r="GY330" s="81">
        <v>2.5281419379668484</v>
      </c>
      <c r="GZ330" s="81">
        <v>0.46178132795223226</v>
      </c>
      <c r="HA330" s="81">
        <v>7.0846846973631819E-2</v>
      </c>
      <c r="HB330" s="81">
        <v>8.0593366884677931</v>
      </c>
      <c r="HC330" s="81">
        <v>26.079924999999999</v>
      </c>
      <c r="HF330" s="81">
        <v>56.199237333333336</v>
      </c>
      <c r="HG330" s="81">
        <v>51.182450666666675</v>
      </c>
      <c r="HH330" s="81">
        <v>107.971211</v>
      </c>
      <c r="HI330" s="81">
        <v>188.63824</v>
      </c>
      <c r="HJ330" s="81">
        <v>35.039250000000003</v>
      </c>
    </row>
    <row r="331" spans="1:218">
      <c r="A331" s="81" t="s">
        <v>871</v>
      </c>
      <c r="C331" s="81" t="s">
        <v>758</v>
      </c>
      <c r="E331" s="81" t="s">
        <v>434</v>
      </c>
      <c r="F331" s="81" t="s">
        <v>767</v>
      </c>
      <c r="GX331" s="81">
        <v>0.55481466615311137</v>
      </c>
      <c r="GY331" s="81">
        <v>2.9192972679399065</v>
      </c>
      <c r="GZ331" s="81">
        <v>0.61562997621783278</v>
      </c>
      <c r="HA331" s="81">
        <v>0.9793050350832847</v>
      </c>
      <c r="HB331" s="81">
        <v>7.1766644382701834</v>
      </c>
      <c r="HE331" s="81">
        <v>15.798515999999998</v>
      </c>
      <c r="HF331" s="81">
        <v>23.908563666666669</v>
      </c>
      <c r="HG331" s="81">
        <v>100.34008266666667</v>
      </c>
      <c r="HH331" s="81">
        <v>132.353509</v>
      </c>
      <c r="HI331" s="81">
        <v>177.44984000000002</v>
      </c>
      <c r="HJ331" s="81">
        <v>49.08445733333334</v>
      </c>
    </row>
    <row r="332" spans="1:218">
      <c r="A332" s="81" t="s">
        <v>871</v>
      </c>
      <c r="C332" s="81" t="s">
        <v>758</v>
      </c>
      <c r="E332" s="81" t="s">
        <v>434</v>
      </c>
      <c r="F332" s="81" t="s">
        <v>767</v>
      </c>
      <c r="GX332" s="81">
        <v>0.55448629794557114</v>
      </c>
      <c r="GY332" s="81">
        <v>2.9515086237047954</v>
      </c>
      <c r="GZ332" s="81">
        <v>0.61887830101808128</v>
      </c>
      <c r="HA332" s="81">
        <v>0.99084310031059941</v>
      </c>
      <c r="HB332" s="81">
        <v>7.1878820236763614</v>
      </c>
      <c r="HC332" s="81">
        <v>13.541715000000002</v>
      </c>
      <c r="HE332" s="81">
        <v>19.004081333333332</v>
      </c>
      <c r="HF332" s="81">
        <v>25.453270666666665</v>
      </c>
      <c r="HG332" s="81">
        <v>100.91328266666669</v>
      </c>
      <c r="HH332" s="81">
        <v>131.33987666666664</v>
      </c>
      <c r="HI332" s="81">
        <v>178.06072000000003</v>
      </c>
      <c r="HJ332" s="81">
        <v>48.697469333333324</v>
      </c>
    </row>
    <row r="333" spans="1:218">
      <c r="A333" s="81" t="s">
        <v>872</v>
      </c>
      <c r="C333" s="81" t="s">
        <v>759</v>
      </c>
      <c r="E333" s="81" t="s">
        <v>434</v>
      </c>
      <c r="F333" s="81" t="s">
        <v>767</v>
      </c>
      <c r="GX333" s="81">
        <v>1.0378555649361247</v>
      </c>
      <c r="GY333" s="81">
        <v>3.3346838291520733</v>
      </c>
      <c r="GZ333" s="81">
        <v>0.48900389374888759</v>
      </c>
      <c r="HA333" s="81">
        <v>9.4769782150564238E-2</v>
      </c>
      <c r="HB333" s="81">
        <v>7.1083022606109552</v>
      </c>
      <c r="HC333" s="81">
        <v>22.522720000000003</v>
      </c>
      <c r="HF333" s="81">
        <v>13.677194999999999</v>
      </c>
      <c r="HG333" s="81">
        <v>59.222535999999998</v>
      </c>
      <c r="HH333" s="81">
        <v>141.41801566666666</v>
      </c>
      <c r="HI333" s="81">
        <v>206.64923999999999</v>
      </c>
      <c r="HJ333" s="81">
        <v>49.873790000000007</v>
      </c>
    </row>
    <row r="334" spans="1:218">
      <c r="A334" s="81" t="s">
        <v>873</v>
      </c>
      <c r="C334" s="81" t="s">
        <v>760</v>
      </c>
      <c r="E334" s="81" t="s">
        <v>434</v>
      </c>
      <c r="F334" s="81" t="s">
        <v>767</v>
      </c>
      <c r="GX334" s="81">
        <v>1.000240924176321</v>
      </c>
      <c r="GY334" s="81">
        <v>2.7033535384915681</v>
      </c>
      <c r="GZ334" s="81">
        <v>0.38418669200414696</v>
      </c>
      <c r="HA334" s="81">
        <v>8.6701744893040875E-2</v>
      </c>
      <c r="HB334" s="81">
        <v>5.1836269358784568</v>
      </c>
      <c r="HC334" s="81">
        <v>11.351999999999999</v>
      </c>
      <c r="HE334" s="81">
        <v>11.805245333333334</v>
      </c>
      <c r="HF334" s="81">
        <v>60.340681999999994</v>
      </c>
      <c r="HG334" s="81">
        <v>54.973213333333341</v>
      </c>
      <c r="HH334" s="81">
        <v>110.33533233333333</v>
      </c>
      <c r="HI334" s="81">
        <v>183.83088000000001</v>
      </c>
      <c r="HJ334" s="81">
        <v>49.91986</v>
      </c>
    </row>
    <row r="335" spans="1:218">
      <c r="A335" s="81" t="s">
        <v>874</v>
      </c>
      <c r="C335" s="81" t="s">
        <v>761</v>
      </c>
      <c r="E335" s="81" t="s">
        <v>434</v>
      </c>
      <c r="F335" s="81" t="s">
        <v>767</v>
      </c>
      <c r="GX335" s="81">
        <v>1.2612510906484056</v>
      </c>
      <c r="GY335" s="81">
        <v>2.8236035901838057</v>
      </c>
      <c r="GZ335" s="81">
        <v>0.42034200880551315</v>
      </c>
      <c r="HA335" s="81">
        <v>9.6019871773765308E-2</v>
      </c>
      <c r="HB335" s="81">
        <v>7.7414189634327437</v>
      </c>
      <c r="HC335" s="81">
        <v>19.600215000000002</v>
      </c>
      <c r="HE335" s="81">
        <v>15.512630666666666</v>
      </c>
      <c r="HF335" s="81">
        <v>47.142142333333332</v>
      </c>
      <c r="HG335" s="81">
        <v>32.725410666666669</v>
      </c>
      <c r="HH335" s="81">
        <v>134.99017799999999</v>
      </c>
      <c r="HI335" s="81">
        <v>203.28608</v>
      </c>
      <c r="HJ335" s="81">
        <v>43.543771999999997</v>
      </c>
    </row>
    <row r="336" spans="1:218">
      <c r="A336" s="81" t="s">
        <v>875</v>
      </c>
      <c r="C336" s="81" t="s">
        <v>762</v>
      </c>
      <c r="E336" s="81" t="s">
        <v>434</v>
      </c>
      <c r="F336" s="81" t="s">
        <v>767</v>
      </c>
      <c r="GX336" s="81">
        <v>1.0879219114362393</v>
      </c>
      <c r="GY336" s="81">
        <v>2.5479157378635033</v>
      </c>
      <c r="GZ336" s="81">
        <v>0.95169991957284772</v>
      </c>
      <c r="HA336" s="81">
        <v>0.1143211464295959</v>
      </c>
      <c r="HB336" s="81">
        <v>7.9452917262617673</v>
      </c>
      <c r="HC336" s="81">
        <v>16.790225000000003</v>
      </c>
      <c r="HE336" s="81">
        <v>36.023382666666663</v>
      </c>
      <c r="HF336" s="81">
        <v>36.699626666666667</v>
      </c>
      <c r="HG336" s="81">
        <v>33.164864000000001</v>
      </c>
      <c r="HH336" s="81">
        <v>145.04688066666668</v>
      </c>
      <c r="HI336" s="81">
        <v>181.44048000000001</v>
      </c>
      <c r="HJ336" s="81">
        <v>48.961604000000001</v>
      </c>
    </row>
    <row r="337" spans="1:218">
      <c r="A337" s="81" t="s">
        <v>978</v>
      </c>
      <c r="C337" s="81" t="s">
        <v>876</v>
      </c>
      <c r="E337" s="81" t="s">
        <v>129</v>
      </c>
      <c r="F337" s="81" t="s">
        <v>767</v>
      </c>
      <c r="GX337" s="81">
        <v>9.0539318475215627</v>
      </c>
      <c r="GY337" s="81">
        <v>0.62655561201999987</v>
      </c>
      <c r="GZ337" s="81">
        <v>1.5620004841094175</v>
      </c>
      <c r="HA337" s="81">
        <v>7.8388820456570807E-2</v>
      </c>
      <c r="HB337" s="81">
        <v>7.6400085844968446</v>
      </c>
      <c r="HC337" s="81">
        <v>98.781925000000001</v>
      </c>
      <c r="HD337" s="81">
        <v>225.15006600000001</v>
      </c>
      <c r="HE337" s="81">
        <v>89.453526666666676</v>
      </c>
      <c r="HF337" s="81">
        <v>138.05389099999999</v>
      </c>
      <c r="HG337" s="81">
        <v>121.24659733333334</v>
      </c>
      <c r="HH337" s="81">
        <v>20.103680666666666</v>
      </c>
      <c r="HI337" s="81">
        <v>92.666999999999987</v>
      </c>
      <c r="HJ337" s="81">
        <v>26.206095333333334</v>
      </c>
    </row>
    <row r="338" spans="1:218">
      <c r="A338" s="81" t="s">
        <v>979</v>
      </c>
      <c r="C338" s="81" t="s">
        <v>877</v>
      </c>
      <c r="E338" s="81" t="s">
        <v>129</v>
      </c>
      <c r="F338" s="81" t="s">
        <v>767</v>
      </c>
      <c r="GX338" s="81">
        <v>6.2367045298772892</v>
      </c>
      <c r="GY338" s="81">
        <v>0.89329243282698911</v>
      </c>
      <c r="GZ338" s="81">
        <v>2.4599828400606154</v>
      </c>
      <c r="HA338" s="81">
        <v>0.1784381680716903</v>
      </c>
      <c r="HB338" s="81">
        <v>6.5162081837524575</v>
      </c>
      <c r="HC338" s="81">
        <v>63.331044999999996</v>
      </c>
      <c r="HD338" s="81">
        <v>323.74901199999999</v>
      </c>
      <c r="HE338" s="81">
        <v>255.98781600000004</v>
      </c>
      <c r="HF338" s="81">
        <v>381.48415599999998</v>
      </c>
      <c r="HG338" s="81">
        <v>173.72496799999999</v>
      </c>
      <c r="HH338" s="81">
        <v>11.507711</v>
      </c>
      <c r="HI338" s="81">
        <v>190.41444000000001</v>
      </c>
      <c r="HJ338" s="81">
        <v>120.62809599999999</v>
      </c>
    </row>
    <row r="339" spans="1:218">
      <c r="A339" s="81" t="s">
        <v>980</v>
      </c>
      <c r="C339" s="81" t="s">
        <v>878</v>
      </c>
      <c r="E339" s="81" t="s">
        <v>129</v>
      </c>
      <c r="F339" s="81" t="s">
        <v>767</v>
      </c>
      <c r="GX339" s="81">
        <v>2.381524501257283</v>
      </c>
      <c r="GY339" s="81">
        <v>0.67943406239145443</v>
      </c>
      <c r="GZ339" s="81">
        <v>0.91361244389449914</v>
      </c>
      <c r="HA339" s="81">
        <v>9.8521499755442291E-2</v>
      </c>
      <c r="HB339" s="81">
        <v>11.936253964654783</v>
      </c>
      <c r="HC339" s="81">
        <v>101.24283000000001</v>
      </c>
      <c r="HE339" s="81">
        <v>117.38209066666667</v>
      </c>
      <c r="HF339" s="81">
        <v>79.747684333333325</v>
      </c>
      <c r="HG339" s="81">
        <v>42.798445333333341</v>
      </c>
      <c r="HH339" s="81">
        <v>13.240991666666668</v>
      </c>
      <c r="HI339" s="81">
        <v>127.80919999999999</v>
      </c>
      <c r="HJ339" s="81">
        <v>36.504275999999997</v>
      </c>
    </row>
    <row r="340" spans="1:218">
      <c r="A340" s="81" t="s">
        <v>981</v>
      </c>
      <c r="C340" s="81" t="s">
        <v>879</v>
      </c>
      <c r="E340" s="81" t="s">
        <v>129</v>
      </c>
      <c r="F340" s="81" t="s">
        <v>767</v>
      </c>
      <c r="GX340" s="81">
        <v>7.3219526937492292</v>
      </c>
      <c r="GZ340" s="81">
        <v>1.1780156170111453</v>
      </c>
      <c r="HA340" s="81">
        <v>0.12509974772617397</v>
      </c>
      <c r="HB340" s="81">
        <v>10.069532314315422</v>
      </c>
      <c r="HC340" s="81">
        <v>109.675685</v>
      </c>
      <c r="HD340" s="81">
        <v>149.03169399999999</v>
      </c>
      <c r="HE340" s="81">
        <v>76.904985333333329</v>
      </c>
      <c r="HF340" s="81">
        <v>89.586393666666666</v>
      </c>
      <c r="HG340" s="81">
        <v>111.63594399999999</v>
      </c>
      <c r="HI340" s="81">
        <v>135.07003999999998</v>
      </c>
      <c r="HJ340" s="81">
        <v>43.411704666666672</v>
      </c>
    </row>
    <row r="341" spans="1:218">
      <c r="A341" s="81" t="s">
        <v>982</v>
      </c>
      <c r="C341" s="81" t="s">
        <v>880</v>
      </c>
      <c r="E341" s="81" t="s">
        <v>129</v>
      </c>
      <c r="F341" s="81" t="s">
        <v>767</v>
      </c>
      <c r="GX341" s="81">
        <v>8.4815205550334856</v>
      </c>
      <c r="GY341" s="81">
        <v>0.34523823226170069</v>
      </c>
      <c r="GZ341" s="81">
        <v>1.1390869099583325</v>
      </c>
      <c r="HA341" s="81">
        <v>0.15209067457070743</v>
      </c>
      <c r="HB341" s="81">
        <v>10.373060078744153</v>
      </c>
      <c r="HC341" s="81">
        <v>87.559275000000014</v>
      </c>
      <c r="HD341" s="81">
        <v>162.07708199999999</v>
      </c>
      <c r="HE341" s="81">
        <v>36.744178666666663</v>
      </c>
      <c r="HF341" s="81">
        <v>91.520055666666664</v>
      </c>
      <c r="HG341" s="81">
        <v>93.515181333333359</v>
      </c>
      <c r="HI341" s="81">
        <v>136.3914</v>
      </c>
      <c r="HJ341" s="81">
        <v>37.828020666666667</v>
      </c>
    </row>
    <row r="342" spans="1:218">
      <c r="A342" s="81" t="s">
        <v>983</v>
      </c>
      <c r="C342" s="81" t="s">
        <v>881</v>
      </c>
      <c r="E342" s="81" t="s">
        <v>129</v>
      </c>
      <c r="F342" s="81" t="s">
        <v>767</v>
      </c>
      <c r="GX342" s="81">
        <v>13.420564761064933</v>
      </c>
      <c r="GY342" s="81">
        <v>0.42740100060753433</v>
      </c>
      <c r="GZ342" s="81">
        <v>1.0095480851846992</v>
      </c>
      <c r="HA342" s="81">
        <v>0.31153596342448736</v>
      </c>
      <c r="HB342" s="81">
        <v>10.14168804227309</v>
      </c>
      <c r="HC342" s="81">
        <v>91.404980000000009</v>
      </c>
      <c r="HE342" s="81">
        <v>91.123218666666673</v>
      </c>
      <c r="HF342" s="81">
        <v>78.014056333333329</v>
      </c>
      <c r="HG342" s="81">
        <v>82.307210666666677</v>
      </c>
      <c r="HH342" s="81">
        <v>9.3181426666666667</v>
      </c>
      <c r="HI342" s="81">
        <v>116.05972000000001</v>
      </c>
      <c r="HJ342" s="81">
        <v>44.170323999999994</v>
      </c>
    </row>
    <row r="343" spans="1:218">
      <c r="A343" s="81" t="s">
        <v>984</v>
      </c>
      <c r="C343" s="81" t="s">
        <v>882</v>
      </c>
      <c r="E343" s="81" t="s">
        <v>129</v>
      </c>
      <c r="F343" s="81" t="s">
        <v>767</v>
      </c>
      <c r="GX343" s="81">
        <v>9.760713329841046</v>
      </c>
      <c r="GZ343" s="81">
        <v>1.2866988428615225</v>
      </c>
      <c r="HA343" s="81">
        <v>0.19440603167872827</v>
      </c>
      <c r="HB343" s="81">
        <v>9.5909190566548261</v>
      </c>
      <c r="HC343" s="81">
        <v>104.52596000000001</v>
      </c>
      <c r="HE343" s="81">
        <v>213.506472</v>
      </c>
      <c r="HF343" s="81">
        <v>86.541431666666654</v>
      </c>
      <c r="HG343" s="81">
        <v>136.78031733333333</v>
      </c>
      <c r="HI343" s="81">
        <v>128.44</v>
      </c>
      <c r="HJ343" s="81">
        <v>38.703350666666672</v>
      </c>
    </row>
    <row r="344" spans="1:218">
      <c r="A344" s="81" t="s">
        <v>985</v>
      </c>
      <c r="C344" s="81" t="s">
        <v>883</v>
      </c>
      <c r="E344" s="81" t="s">
        <v>129</v>
      </c>
      <c r="F344" s="81" t="s">
        <v>767</v>
      </c>
      <c r="GX344" s="81">
        <v>7.0290449146999556</v>
      </c>
      <c r="GY344" s="81">
        <v>0.359037770574611</v>
      </c>
      <c r="GZ344" s="81">
        <v>1.2503797162996113</v>
      </c>
      <c r="HA344" s="81">
        <v>0.12189511261820167</v>
      </c>
      <c r="HB344" s="81">
        <v>10.455795743127112</v>
      </c>
      <c r="HC344" s="81">
        <v>117.36421</v>
      </c>
      <c r="HD344" s="81">
        <v>167.440504</v>
      </c>
      <c r="HE344" s="81">
        <v>45.500177333333333</v>
      </c>
      <c r="HF344" s="81">
        <v>94.716895333333312</v>
      </c>
      <c r="HG344" s="81">
        <v>121.277168</v>
      </c>
      <c r="HI344" s="81">
        <v>136.93588</v>
      </c>
      <c r="HJ344" s="81">
        <v>39.379044</v>
      </c>
    </row>
    <row r="345" spans="1:218">
      <c r="A345" s="81" t="s">
        <v>986</v>
      </c>
      <c r="C345" s="81" t="s">
        <v>884</v>
      </c>
      <c r="E345" s="81" t="s">
        <v>129</v>
      </c>
      <c r="F345" s="81" t="s">
        <v>767</v>
      </c>
      <c r="GX345" s="81">
        <v>6.6853660700876247</v>
      </c>
      <c r="GY345" s="81">
        <v>0.41718245887582472</v>
      </c>
      <c r="GZ345" s="81">
        <v>2.1819315552887137</v>
      </c>
      <c r="HA345" s="81">
        <v>0.14359219054836184</v>
      </c>
      <c r="HB345" s="81">
        <v>12.550490060224131</v>
      </c>
      <c r="HC345" s="81">
        <v>66.723083750000001</v>
      </c>
      <c r="HE345" s="81">
        <v>79.696169000000012</v>
      </c>
      <c r="HF345" s="81">
        <v>84.922637999999978</v>
      </c>
      <c r="HG345" s="81">
        <v>125.22365000000001</v>
      </c>
      <c r="HI345" s="81">
        <v>109.59236</v>
      </c>
      <c r="HJ345" s="81">
        <v>29.8494645</v>
      </c>
    </row>
    <row r="346" spans="1:218">
      <c r="A346" s="81" t="s">
        <v>987</v>
      </c>
      <c r="C346" s="81" t="s">
        <v>885</v>
      </c>
      <c r="E346" s="81" t="s">
        <v>129</v>
      </c>
      <c r="F346" s="81" t="s">
        <v>767</v>
      </c>
      <c r="GX346" s="81">
        <v>7.4562189907170016</v>
      </c>
      <c r="GZ346" s="81">
        <v>2.0837960001049467</v>
      </c>
      <c r="HA346" s="81">
        <v>0.17068974410714718</v>
      </c>
      <c r="HB346" s="81">
        <v>13.179511321780844</v>
      </c>
      <c r="HC346" s="81">
        <v>74.446950000000015</v>
      </c>
      <c r="HE346" s="81">
        <v>51.981258666666669</v>
      </c>
      <c r="HF346" s="81">
        <v>85.867242999999988</v>
      </c>
      <c r="HG346" s="81">
        <v>181.60073600000001</v>
      </c>
      <c r="HI346" s="81">
        <v>121.04636000000001</v>
      </c>
      <c r="HJ346" s="81">
        <v>33.442156666666669</v>
      </c>
    </row>
    <row r="347" spans="1:218">
      <c r="A347" s="81" t="s">
        <v>988</v>
      </c>
      <c r="C347" s="81" t="s">
        <v>886</v>
      </c>
      <c r="E347" s="81" t="s">
        <v>129</v>
      </c>
      <c r="F347" s="81" t="s">
        <v>767</v>
      </c>
      <c r="GX347" s="81">
        <v>8.5261323175727668</v>
      </c>
      <c r="GZ347" s="81">
        <v>2.4819902263627025</v>
      </c>
      <c r="HA347" s="81">
        <v>0.17352361641541073</v>
      </c>
      <c r="HB347" s="81">
        <v>12.275851853928124</v>
      </c>
      <c r="HC347" s="81">
        <v>72.228385000000003</v>
      </c>
      <c r="HE347" s="81">
        <v>92.215057333333334</v>
      </c>
      <c r="HF347" s="81">
        <v>78.740105666666679</v>
      </c>
      <c r="HG347" s="81">
        <v>204.00903466666668</v>
      </c>
      <c r="HI347" s="81">
        <v>129.20692</v>
      </c>
      <c r="HJ347" s="81">
        <v>33.813788000000002</v>
      </c>
    </row>
    <row r="348" spans="1:218">
      <c r="A348" s="81" t="s">
        <v>989</v>
      </c>
      <c r="C348" s="81" t="s">
        <v>887</v>
      </c>
      <c r="E348" s="81" t="s">
        <v>129</v>
      </c>
      <c r="F348" s="81" t="s">
        <v>767</v>
      </c>
      <c r="GX348" s="81">
        <v>7.4858918773950736</v>
      </c>
      <c r="GZ348" s="81">
        <v>2.3507183170738606</v>
      </c>
      <c r="HA348" s="81">
        <v>0.15885947235000605</v>
      </c>
      <c r="HB348" s="81">
        <v>12.163941093355509</v>
      </c>
      <c r="HC348" s="81">
        <v>68.711570000000009</v>
      </c>
      <c r="HE348" s="81">
        <v>168.43087066666666</v>
      </c>
      <c r="HF348" s="81">
        <v>82.977862999999999</v>
      </c>
      <c r="HG348" s="81">
        <v>207.99468533333334</v>
      </c>
      <c r="HI348" s="81">
        <v>129.72152000000003</v>
      </c>
      <c r="HJ348" s="81">
        <v>33.841429999999995</v>
      </c>
    </row>
    <row r="349" spans="1:218">
      <c r="A349" s="81" t="s">
        <v>990</v>
      </c>
      <c r="C349" s="81" t="s">
        <v>888</v>
      </c>
      <c r="E349" s="81" t="s">
        <v>129</v>
      </c>
      <c r="F349" s="81" t="s">
        <v>767</v>
      </c>
      <c r="GX349" s="81">
        <v>7.2011453208864467</v>
      </c>
      <c r="GZ349" s="81">
        <v>2.7071154591175968</v>
      </c>
      <c r="HA349" s="81">
        <v>0.15173157913182866</v>
      </c>
      <c r="HB349" s="81">
        <v>12.145510795148128</v>
      </c>
      <c r="HC349" s="81">
        <v>63.887849999999993</v>
      </c>
      <c r="HE349" s="81">
        <v>189.49514533333331</v>
      </c>
      <c r="HF349" s="81">
        <v>86.174702666666647</v>
      </c>
      <c r="HG349" s="81">
        <v>201.31499466666665</v>
      </c>
      <c r="HI349" s="81">
        <v>130.35231999999999</v>
      </c>
      <c r="HJ349" s="81">
        <v>33.509726000000001</v>
      </c>
    </row>
    <row r="350" spans="1:218">
      <c r="A350" s="81" t="s">
        <v>991</v>
      </c>
      <c r="C350" s="81" t="s">
        <v>889</v>
      </c>
      <c r="E350" s="81" t="s">
        <v>129</v>
      </c>
      <c r="F350" s="81" t="s">
        <v>767</v>
      </c>
      <c r="GX350" s="81">
        <v>7.9365131958402459</v>
      </c>
      <c r="GZ350" s="81">
        <v>2.289649697072409</v>
      </c>
      <c r="HA350" s="81">
        <v>0.17237805443169515</v>
      </c>
      <c r="HB350" s="81">
        <v>11.641160416692474</v>
      </c>
      <c r="HC350" s="81">
        <v>93.877425000000017</v>
      </c>
      <c r="HD350" s="81">
        <v>157.06430399999999</v>
      </c>
      <c r="HE350" s="81">
        <v>186.92825999999999</v>
      </c>
      <c r="HF350" s="81">
        <v>80.533002999999994</v>
      </c>
      <c r="HG350" s="81">
        <v>174.47394933333331</v>
      </c>
      <c r="HI350" s="81">
        <v>135.14308</v>
      </c>
      <c r="HJ350" s="81">
        <v>34.437268666666661</v>
      </c>
    </row>
    <row r="351" spans="1:218">
      <c r="A351" s="81" t="s">
        <v>992</v>
      </c>
      <c r="C351" s="81" t="s">
        <v>890</v>
      </c>
      <c r="E351" s="81" t="s">
        <v>129</v>
      </c>
      <c r="F351" s="81" t="s">
        <v>767</v>
      </c>
      <c r="GX351" s="81">
        <v>8.2536359396834325</v>
      </c>
      <c r="GY351" s="81">
        <v>0.40799604740889822</v>
      </c>
      <c r="GZ351" s="81">
        <v>2.2313527609707311</v>
      </c>
      <c r="HA351" s="81">
        <v>0.29768464549690571</v>
      </c>
      <c r="HB351" s="81">
        <v>11.119983000673093</v>
      </c>
      <c r="HC351" s="81">
        <v>92.357030000000009</v>
      </c>
      <c r="HE351" s="81">
        <v>157.24788799999999</v>
      </c>
      <c r="HF351" s="81">
        <v>114.10908033333332</v>
      </c>
      <c r="HG351" s="81">
        <v>194.39073866666669</v>
      </c>
      <c r="HI351" s="81">
        <v>130.05351999999999</v>
      </c>
      <c r="HJ351" s="81">
        <v>31.381291999999998</v>
      </c>
    </row>
    <row r="352" spans="1:218">
      <c r="A352" s="81" t="s">
        <v>993</v>
      </c>
      <c r="C352" s="81" t="s">
        <v>891</v>
      </c>
      <c r="E352" s="81" t="s">
        <v>129</v>
      </c>
      <c r="F352" s="81" t="s">
        <v>767</v>
      </c>
      <c r="GX352" s="81">
        <v>6.1375882345308952</v>
      </c>
      <c r="GZ352" s="81">
        <v>2.4286075830773703</v>
      </c>
      <c r="HA352" s="81">
        <v>0.24723584151695185</v>
      </c>
      <c r="HB352" s="81">
        <v>12.654085661011486</v>
      </c>
      <c r="HC352" s="81">
        <v>78.359009999999998</v>
      </c>
      <c r="HE352" s="81">
        <v>139.13978933333331</v>
      </c>
      <c r="HF352" s="81">
        <v>116.49837533333333</v>
      </c>
      <c r="HG352" s="81">
        <v>204.49816533333333</v>
      </c>
      <c r="HI352" s="81">
        <v>141.99888000000001</v>
      </c>
      <c r="HJ352" s="81">
        <v>40.251302666666668</v>
      </c>
    </row>
    <row r="353" spans="1:218">
      <c r="A353" s="81" t="s">
        <v>994</v>
      </c>
      <c r="C353" s="81" t="s">
        <v>892</v>
      </c>
      <c r="E353" s="81" t="s">
        <v>129</v>
      </c>
      <c r="F353" s="81" t="s">
        <v>767</v>
      </c>
      <c r="GX353" s="81">
        <v>6.9510664360780821</v>
      </c>
      <c r="GZ353" s="81">
        <v>1.9253191573200636</v>
      </c>
      <c r="HA353" s="81">
        <v>0.15230889743067588</v>
      </c>
      <c r="HB353" s="81">
        <v>11.785362444849467</v>
      </c>
      <c r="HC353" s="81">
        <v>80.511219999999994</v>
      </c>
      <c r="HE353" s="81">
        <v>32.577551999999997</v>
      </c>
      <c r="HF353" s="81">
        <v>74.346766333333335</v>
      </c>
      <c r="HG353" s="81">
        <v>168.1152506666667</v>
      </c>
      <c r="HI353" s="81">
        <v>96.196160000000006</v>
      </c>
      <c r="HJ353" s="81">
        <v>29.133076000000003</v>
      </c>
    </row>
    <row r="354" spans="1:218">
      <c r="A354" s="81" t="s">
        <v>995</v>
      </c>
      <c r="C354" s="81" t="s">
        <v>893</v>
      </c>
      <c r="E354" s="81" t="s">
        <v>129</v>
      </c>
      <c r="F354" s="81" t="s">
        <v>767</v>
      </c>
      <c r="GX354" s="81">
        <v>5.14205969459237</v>
      </c>
      <c r="GZ354" s="81">
        <v>1.3964047421475234</v>
      </c>
      <c r="HA354" s="81">
        <v>9.2180937331052051E-2</v>
      </c>
      <c r="HB354" s="81">
        <v>12.623299385064088</v>
      </c>
      <c r="HC354" s="81">
        <v>70.168494999999993</v>
      </c>
      <c r="HE354" s="81">
        <v>111.30854800000002</v>
      </c>
      <c r="HF354" s="81">
        <v>79.284642666666642</v>
      </c>
      <c r="HG354" s="81">
        <v>150.51801066666664</v>
      </c>
      <c r="HI354" s="81">
        <v>104.17411999999997</v>
      </c>
      <c r="HJ354" s="81">
        <v>27.889185999999999</v>
      </c>
    </row>
    <row r="355" spans="1:218">
      <c r="A355" s="81" t="s">
        <v>996</v>
      </c>
      <c r="C355" s="81" t="s">
        <v>894</v>
      </c>
      <c r="E355" s="81" t="s">
        <v>129</v>
      </c>
      <c r="F355" s="81" t="s">
        <v>767</v>
      </c>
      <c r="GX355" s="81">
        <v>7.9112096508004983</v>
      </c>
      <c r="GZ355" s="81">
        <v>1.8795257974894186</v>
      </c>
      <c r="HA355" s="81">
        <v>0.17591585751003516</v>
      </c>
      <c r="HB355" s="81">
        <v>11.59462230289904</v>
      </c>
      <c r="HC355" s="81">
        <v>70.07329</v>
      </c>
      <c r="HE355" s="81">
        <v>41.32442666666666</v>
      </c>
      <c r="HF355" s="81">
        <v>65.463774999999984</v>
      </c>
      <c r="HG355" s="81">
        <v>168.13435733333333</v>
      </c>
      <c r="HI355" s="81">
        <v>92.769919999999999</v>
      </c>
      <c r="HJ355" s="81">
        <v>27.044569333333332</v>
      </c>
    </row>
    <row r="356" spans="1:218">
      <c r="A356" s="81" t="s">
        <v>997</v>
      </c>
      <c r="C356" s="81" t="s">
        <v>895</v>
      </c>
      <c r="E356" s="81" t="s">
        <v>129</v>
      </c>
      <c r="F356" s="81" t="s">
        <v>767</v>
      </c>
      <c r="GX356" s="81">
        <v>7.5941874618976142</v>
      </c>
      <c r="GZ356" s="81">
        <v>1.9061101877606177</v>
      </c>
      <c r="HA356" s="81">
        <v>0.17141744172335879</v>
      </c>
      <c r="HB356" s="81">
        <v>11.963010491409165</v>
      </c>
      <c r="HC356" s="81">
        <v>83.145224999999996</v>
      </c>
      <c r="HE356" s="81">
        <v>38.350002666666661</v>
      </c>
      <c r="HF356" s="81">
        <v>75.191354333333322</v>
      </c>
      <c r="HG356" s="81">
        <v>166.94974400000001</v>
      </c>
      <c r="HI356" s="81">
        <v>104.30028</v>
      </c>
      <c r="HJ356" s="81">
        <v>29.903980666666669</v>
      </c>
    </row>
    <row r="357" spans="1:218">
      <c r="A357" s="81" t="s">
        <v>998</v>
      </c>
      <c r="C357" s="81" t="s">
        <v>896</v>
      </c>
      <c r="E357" s="81" t="s">
        <v>129</v>
      </c>
      <c r="F357" s="81" t="s">
        <v>767</v>
      </c>
      <c r="GX357" s="81">
        <v>5.9514672986392236</v>
      </c>
      <c r="GZ357" s="81">
        <v>1.5335169244269016</v>
      </c>
      <c r="HA357" s="81">
        <v>8.4711665777478462E-2</v>
      </c>
      <c r="HB357" s="81">
        <v>11.349914838258826</v>
      </c>
      <c r="HC357" s="81">
        <v>69.779020000000003</v>
      </c>
      <c r="HE357" s="81">
        <v>142.13550266666667</v>
      </c>
      <c r="HF357" s="81">
        <v>82.403691333333313</v>
      </c>
      <c r="HG357" s="81">
        <v>145.81012799999999</v>
      </c>
      <c r="HI357" s="81">
        <v>99.516160000000013</v>
      </c>
      <c r="HJ357" s="81">
        <v>28.939582000000001</v>
      </c>
    </row>
    <row r="358" spans="1:218">
      <c r="A358" s="81" t="s">
        <v>999</v>
      </c>
      <c r="C358" s="81" t="s">
        <v>897</v>
      </c>
      <c r="E358" s="81" t="s">
        <v>129</v>
      </c>
      <c r="F358" s="81" t="s">
        <v>767</v>
      </c>
      <c r="GX358" s="81">
        <v>7.4161680831670749</v>
      </c>
      <c r="GZ358" s="81">
        <v>1.7767653182937408</v>
      </c>
      <c r="HA358" s="81">
        <v>0.12204678830899163</v>
      </c>
      <c r="HB358" s="81">
        <v>12.133217090441645</v>
      </c>
      <c r="HC358" s="81">
        <v>78.719634999999997</v>
      </c>
      <c r="HE358" s="81">
        <v>57.318798666666673</v>
      </c>
      <c r="HF358" s="81">
        <v>74.250453666666658</v>
      </c>
      <c r="HG358" s="81">
        <v>172.12765066666668</v>
      </c>
      <c r="HI358" s="81">
        <v>98.613119999999995</v>
      </c>
      <c r="HJ358" s="81">
        <v>28.641662666666665</v>
      </c>
    </row>
    <row r="359" spans="1:218">
      <c r="A359" s="81" t="s">
        <v>1000</v>
      </c>
      <c r="C359" s="81" t="s">
        <v>898</v>
      </c>
      <c r="E359" s="81" t="s">
        <v>129</v>
      </c>
      <c r="F359" s="81" t="s">
        <v>767</v>
      </c>
      <c r="GX359" s="81">
        <v>7.7484579333791261</v>
      </c>
      <c r="GZ359" s="81">
        <v>1.7539798356290659</v>
      </c>
      <c r="HA359" s="81">
        <v>0.1254255695804635</v>
      </c>
      <c r="HB359" s="81">
        <v>11.680827619132955</v>
      </c>
      <c r="HC359" s="81">
        <v>75.892335000000003</v>
      </c>
      <c r="HE359" s="81">
        <v>136.24748133333333</v>
      </c>
      <c r="HF359" s="81">
        <v>62.074309999999997</v>
      </c>
      <c r="HG359" s="81">
        <v>165.940912</v>
      </c>
      <c r="HI359" s="81">
        <v>94.373480000000015</v>
      </c>
      <c r="HJ359" s="81">
        <v>27.268776666666668</v>
      </c>
    </row>
    <row r="360" spans="1:218">
      <c r="A360" s="81" t="s">
        <v>1001</v>
      </c>
      <c r="C360" s="81" t="s">
        <v>899</v>
      </c>
      <c r="E360" s="81" t="s">
        <v>129</v>
      </c>
      <c r="F360" s="81" t="s">
        <v>767</v>
      </c>
      <c r="GX360" s="81">
        <v>7.0704380846687611</v>
      </c>
      <c r="GZ360" s="81">
        <v>1.7471720612403114</v>
      </c>
      <c r="HA360" s="81">
        <v>0.11110410022388058</v>
      </c>
      <c r="HB360" s="81">
        <v>12.102445932802967</v>
      </c>
      <c r="HC360" s="81">
        <v>81.192080000000018</v>
      </c>
      <c r="HE360" s="81">
        <v>48.282997333333334</v>
      </c>
      <c r="HF360" s="81">
        <v>66.82696966666667</v>
      </c>
      <c r="HG360" s="81">
        <v>166.28865333333337</v>
      </c>
      <c r="HI360" s="81">
        <v>97.42456</v>
      </c>
      <c r="HJ360" s="81">
        <v>26.801933999999999</v>
      </c>
    </row>
    <row r="361" spans="1:218">
      <c r="A361" s="81" t="s">
        <v>1002</v>
      </c>
      <c r="C361" s="81" t="s">
        <v>900</v>
      </c>
      <c r="E361" s="81" t="s">
        <v>129</v>
      </c>
      <c r="F361" s="81" t="s">
        <v>767</v>
      </c>
      <c r="GX361" s="81">
        <v>6.8152947356887026</v>
      </c>
      <c r="GZ361" s="81">
        <v>1.8206959108820795</v>
      </c>
      <c r="HA361" s="81">
        <v>0.11589376790683166</v>
      </c>
      <c r="HB361" s="81">
        <v>12.406019772077315</v>
      </c>
      <c r="HC361" s="81">
        <v>78.024350000000013</v>
      </c>
      <c r="HE361" s="81">
        <v>153.85071866666667</v>
      </c>
      <c r="HF361" s="81">
        <v>95.950438333333338</v>
      </c>
      <c r="HG361" s="81">
        <v>168.31013866666669</v>
      </c>
      <c r="HI361" s="81">
        <v>107.31151999999999</v>
      </c>
      <c r="HJ361" s="81">
        <v>27.975183333333334</v>
      </c>
    </row>
    <row r="362" spans="1:218">
      <c r="A362" s="81" t="s">
        <v>1003</v>
      </c>
      <c r="C362" s="81" t="s">
        <v>901</v>
      </c>
      <c r="E362" s="81" t="s">
        <v>129</v>
      </c>
      <c r="F362" s="81" t="s">
        <v>767</v>
      </c>
      <c r="GX362" s="81">
        <v>7.4307477150299457</v>
      </c>
      <c r="GZ362" s="81">
        <v>2.0182789212936991</v>
      </c>
      <c r="HA362" s="81">
        <v>0.11215718756990656</v>
      </c>
      <c r="HB362" s="81">
        <v>11.159046550644019</v>
      </c>
      <c r="HC362" s="81">
        <v>71.893725000000003</v>
      </c>
      <c r="HE362" s="81">
        <v>135.04919599999997</v>
      </c>
      <c r="HF362" s="81">
        <v>70.916553666666644</v>
      </c>
      <c r="HG362" s="81">
        <v>178.99076533333334</v>
      </c>
      <c r="HI362" s="81">
        <v>95.03416</v>
      </c>
      <c r="HJ362" s="81">
        <v>25.680897333333334</v>
      </c>
    </row>
    <row r="363" spans="1:218">
      <c r="A363" s="81" t="s">
        <v>1004</v>
      </c>
      <c r="C363" s="81" t="s">
        <v>902</v>
      </c>
      <c r="E363" s="81" t="s">
        <v>129</v>
      </c>
      <c r="F363" s="81" t="s">
        <v>767</v>
      </c>
      <c r="GX363" s="81">
        <v>8.3964502410576571</v>
      </c>
      <c r="GZ363" s="81">
        <v>1.9464113703418848</v>
      </c>
      <c r="HA363" s="81">
        <v>0.13874667077699307</v>
      </c>
      <c r="HB363" s="81">
        <v>11.141543148744992</v>
      </c>
      <c r="HC363" s="81">
        <v>78.976400000000012</v>
      </c>
      <c r="HE363" s="81">
        <v>99.587249333333332</v>
      </c>
      <c r="HF363" s="81">
        <v>69.034752333333316</v>
      </c>
      <c r="HG363" s="81">
        <v>184.78390666666667</v>
      </c>
      <c r="HI363" s="81">
        <v>79.94144</v>
      </c>
      <c r="HJ363" s="81">
        <v>25.204840666666666</v>
      </c>
    </row>
    <row r="364" spans="1:218">
      <c r="A364" s="81" t="s">
        <v>1005</v>
      </c>
      <c r="C364" s="81" t="s">
        <v>903</v>
      </c>
      <c r="E364" s="81" t="s">
        <v>129</v>
      </c>
      <c r="F364" s="81" t="s">
        <v>767</v>
      </c>
      <c r="GX364" s="81">
        <v>5.7020313813122065</v>
      </c>
      <c r="GY364" s="81">
        <v>0.32429120599361477</v>
      </c>
      <c r="GZ364" s="81">
        <v>1.6038004122428917</v>
      </c>
      <c r="HA364" s="81">
        <v>9.4004502616332961E-2</v>
      </c>
      <c r="HB364" s="81">
        <v>11.016814582096975</v>
      </c>
      <c r="HC364" s="81">
        <v>69.458785000000006</v>
      </c>
      <c r="HE364" s="81">
        <v>111.33896133333333</v>
      </c>
      <c r="HF364" s="81">
        <v>79.221668999999991</v>
      </c>
      <c r="HG364" s="81">
        <v>173.67529066666668</v>
      </c>
      <c r="HI364" s="81">
        <v>109.07776000000001</v>
      </c>
      <c r="HJ364" s="81">
        <v>16.522181333333332</v>
      </c>
    </row>
    <row r="365" spans="1:218">
      <c r="A365" s="81" t="s">
        <v>1006</v>
      </c>
      <c r="C365" s="81" t="s">
        <v>904</v>
      </c>
      <c r="E365" s="81" t="s">
        <v>129</v>
      </c>
      <c r="F365" s="81" t="s">
        <v>767</v>
      </c>
      <c r="GX365" s="81">
        <v>5.8072752694107441</v>
      </c>
      <c r="GZ365" s="81">
        <v>1.6713463431925542</v>
      </c>
      <c r="HA365" s="81">
        <v>0.10066008378313311</v>
      </c>
      <c r="HB365" s="81">
        <v>12.823762759279077</v>
      </c>
      <c r="HC365" s="81">
        <v>75.448044999999993</v>
      </c>
      <c r="HE365" s="81">
        <v>266.89707866666669</v>
      </c>
      <c r="HF365" s="81">
        <v>73.050249666666659</v>
      </c>
      <c r="HG365" s="81">
        <v>171.33663466666667</v>
      </c>
      <c r="HI365" s="81">
        <v>110.23644</v>
      </c>
      <c r="HJ365" s="81">
        <v>22.766201999999996</v>
      </c>
    </row>
    <row r="366" spans="1:218">
      <c r="A366" s="81" t="s">
        <v>1007</v>
      </c>
      <c r="C366" s="81" t="s">
        <v>905</v>
      </c>
      <c r="E366" s="81" t="s">
        <v>129</v>
      </c>
      <c r="F366" s="81" t="s">
        <v>767</v>
      </c>
      <c r="GX366" s="81">
        <v>7.6061676859676339</v>
      </c>
      <c r="GZ366" s="81">
        <v>1.5211026472267219</v>
      </c>
      <c r="HA366" s="81">
        <v>0.10651191342608907</v>
      </c>
      <c r="HB366" s="81">
        <v>10.663058036748772</v>
      </c>
      <c r="HC366" s="81">
        <v>73.229480000000009</v>
      </c>
      <c r="HE366" s="81">
        <v>122.18739733333332</v>
      </c>
      <c r="HF366" s="81">
        <v>61.081548666666663</v>
      </c>
      <c r="HG366" s="81">
        <v>192.3386826666667</v>
      </c>
      <c r="HI366" s="81">
        <v>89.15776000000001</v>
      </c>
      <c r="HJ366" s="81">
        <v>23.712172666666664</v>
      </c>
    </row>
    <row r="367" spans="1:218">
      <c r="A367" s="81" t="s">
        <v>1008</v>
      </c>
      <c r="C367" s="81" t="s">
        <v>906</v>
      </c>
      <c r="E367" s="81" t="s">
        <v>129</v>
      </c>
      <c r="F367" s="81" t="s">
        <v>767</v>
      </c>
      <c r="GX367" s="81">
        <v>8.1121050698294024</v>
      </c>
      <c r="GZ367" s="81">
        <v>1.7180019794016232</v>
      </c>
      <c r="HA367" s="81">
        <v>0.11682672464875621</v>
      </c>
      <c r="HB367" s="81">
        <v>11.480429757589084</v>
      </c>
      <c r="HC367" s="81">
        <v>77.724310000000003</v>
      </c>
      <c r="HE367" s="81">
        <v>157.32392133333332</v>
      </c>
      <c r="HF367" s="81">
        <v>71.842636999999982</v>
      </c>
      <c r="HG367" s="81">
        <v>190.03824</v>
      </c>
      <c r="HI367" s="81">
        <v>101.94972</v>
      </c>
      <c r="HJ367" s="81">
        <v>26.623796666666667</v>
      </c>
    </row>
    <row r="368" spans="1:218">
      <c r="A368" s="81" t="s">
        <v>1009</v>
      </c>
      <c r="C368" s="81" t="s">
        <v>907</v>
      </c>
      <c r="E368" s="81" t="s">
        <v>129</v>
      </c>
      <c r="F368" s="81" t="s">
        <v>767</v>
      </c>
      <c r="GX368" s="81">
        <v>7.7593700219837016</v>
      </c>
      <c r="GZ368" s="81">
        <v>1.9925277994224935</v>
      </c>
      <c r="HA368" s="81">
        <v>0.1200935856811552</v>
      </c>
      <c r="HB368" s="81">
        <v>11.787265911909108</v>
      </c>
      <c r="HC368" s="81">
        <v>74.539270000000002</v>
      </c>
      <c r="HE368" s="81">
        <v>67.29437200000001</v>
      </c>
      <c r="HF368" s="81">
        <v>86.345101999999983</v>
      </c>
      <c r="HG368" s="81">
        <v>182.20832800000002</v>
      </c>
      <c r="HI368" s="81">
        <v>108.94495999999999</v>
      </c>
      <c r="HJ368" s="81">
        <v>31.135585333333335</v>
      </c>
    </row>
    <row r="369" spans="1:218">
      <c r="A369" s="81" t="s">
        <v>1010</v>
      </c>
      <c r="C369" s="81" t="s">
        <v>908</v>
      </c>
      <c r="E369" s="81" t="s">
        <v>129</v>
      </c>
      <c r="F369" s="81" t="s">
        <v>767</v>
      </c>
      <c r="GX369" s="81">
        <v>8.1735161832456811</v>
      </c>
      <c r="GZ369" s="81">
        <v>2.1094367779013417</v>
      </c>
      <c r="HA369" s="81">
        <v>0.11712186566530758</v>
      </c>
      <c r="HB369" s="81">
        <v>11.430246691555498</v>
      </c>
      <c r="HC369" s="81">
        <v>57.944749999999999</v>
      </c>
      <c r="HE369" s="81">
        <v>59.89480799999999</v>
      </c>
      <c r="HF369" s="81">
        <v>85.741295666666659</v>
      </c>
      <c r="HG369" s="81">
        <v>183.80182400000001</v>
      </c>
      <c r="HI369" s="81">
        <v>107.43436000000001</v>
      </c>
      <c r="HJ369" s="81">
        <v>29.857910666666669</v>
      </c>
    </row>
    <row r="370" spans="1:218">
      <c r="A370" s="81" t="s">
        <v>1011</v>
      </c>
      <c r="C370" s="81" t="s">
        <v>909</v>
      </c>
      <c r="E370" s="81" t="s">
        <v>129</v>
      </c>
      <c r="F370" s="81" t="s">
        <v>767</v>
      </c>
      <c r="GX370" s="81">
        <v>8.813914298109168</v>
      </c>
      <c r="GZ370" s="81">
        <v>2.0374924411242712</v>
      </c>
      <c r="HA370" s="81">
        <v>0.18742030741288676</v>
      </c>
      <c r="HB370" s="81">
        <v>11.337305088908172</v>
      </c>
      <c r="HC370" s="81">
        <v>73.079459999999997</v>
      </c>
      <c r="HE370" s="81">
        <v>47.784218666666668</v>
      </c>
      <c r="HF370" s="81">
        <v>84.467004999999986</v>
      </c>
      <c r="HG370" s="81">
        <v>194.68498133333333</v>
      </c>
      <c r="HI370" s="81">
        <v>105.65483999999999</v>
      </c>
      <c r="HJ370" s="81">
        <v>28.945724666666667</v>
      </c>
    </row>
    <row r="371" spans="1:218">
      <c r="A371" s="81" t="s">
        <v>1012</v>
      </c>
      <c r="C371" s="81" t="s">
        <v>910</v>
      </c>
      <c r="E371" s="81" t="s">
        <v>129</v>
      </c>
      <c r="F371" s="81" t="s">
        <v>767</v>
      </c>
      <c r="GX371" s="81">
        <v>6.1986559590846504</v>
      </c>
      <c r="GZ371" s="81">
        <v>1.4627784094982867</v>
      </c>
      <c r="HA371" s="81">
        <v>0.14476357196946971</v>
      </c>
      <c r="HB371" s="81">
        <v>15.015037781917938</v>
      </c>
      <c r="HC371" s="81">
        <v>91.327085000000011</v>
      </c>
      <c r="HE371" s="81">
        <v>241.70875599999999</v>
      </c>
      <c r="HF371" s="81">
        <v>102.05888399999999</v>
      </c>
      <c r="HG371" s="81">
        <v>174.04978133333336</v>
      </c>
      <c r="HI371" s="81">
        <v>150.79356000000004</v>
      </c>
      <c r="HJ371" s="81">
        <v>46.46461</v>
      </c>
    </row>
    <row r="372" spans="1:218">
      <c r="A372" s="81" t="s">
        <v>1013</v>
      </c>
      <c r="C372" s="81" t="s">
        <v>911</v>
      </c>
      <c r="E372" s="81" t="s">
        <v>129</v>
      </c>
      <c r="F372" s="81" t="s">
        <v>767</v>
      </c>
      <c r="GX372" s="81">
        <v>8.2934878235548375</v>
      </c>
      <c r="GZ372" s="81">
        <v>2.0069777541677776</v>
      </c>
      <c r="HA372" s="81">
        <v>0.1314757443575294</v>
      </c>
      <c r="HB372" s="81">
        <v>10.639056641778522</v>
      </c>
      <c r="HC372" s="81">
        <v>72.672675000000012</v>
      </c>
      <c r="HE372" s="81">
        <v>41.002045333333335</v>
      </c>
      <c r="HF372" s="81">
        <v>70.175686999999982</v>
      </c>
      <c r="HG372" s="81">
        <v>199.58393066666667</v>
      </c>
      <c r="HI372" s="81">
        <v>90.638480000000001</v>
      </c>
      <c r="HJ372" s="81">
        <v>25.647112666666668</v>
      </c>
    </row>
    <row r="373" spans="1:218">
      <c r="A373" s="81" t="s">
        <v>1014</v>
      </c>
      <c r="C373" s="81" t="s">
        <v>912</v>
      </c>
      <c r="E373" s="81" t="s">
        <v>129</v>
      </c>
      <c r="F373" s="81" t="s">
        <v>767</v>
      </c>
      <c r="GX373" s="81">
        <v>7.8718947553447274</v>
      </c>
      <c r="GY373" s="81">
        <v>0.38277695504394132</v>
      </c>
      <c r="GZ373" s="81">
        <v>2.0306198253719678</v>
      </c>
      <c r="HA373" s="81">
        <v>0.17370899781526514</v>
      </c>
      <c r="HB373" s="81">
        <v>12.426546475760368</v>
      </c>
      <c r="HC373" s="81">
        <v>79.371645000000001</v>
      </c>
      <c r="HE373" s="81">
        <v>63.20682</v>
      </c>
      <c r="HF373" s="81">
        <v>96.62462699999999</v>
      </c>
      <c r="HG373" s="81">
        <v>184.79537066666668</v>
      </c>
      <c r="HI373" s="81">
        <v>110.48876</v>
      </c>
      <c r="HJ373" s="81">
        <v>33.604937333333332</v>
      </c>
    </row>
    <row r="374" spans="1:218">
      <c r="A374" s="81" t="s">
        <v>1015</v>
      </c>
      <c r="C374" s="81" t="s">
        <v>913</v>
      </c>
      <c r="E374" s="81" t="s">
        <v>129</v>
      </c>
      <c r="F374" s="81" t="s">
        <v>767</v>
      </c>
      <c r="GX374" s="81">
        <v>8.9509698472591612</v>
      </c>
      <c r="GZ374" s="81">
        <v>1.8194667688941022</v>
      </c>
      <c r="HA374" s="81">
        <v>0.12493942954588033</v>
      </c>
      <c r="HB374" s="81">
        <v>10.703159350625326</v>
      </c>
      <c r="HC374" s="81">
        <v>80.346775000000008</v>
      </c>
      <c r="HE374" s="81">
        <v>121.481808</v>
      </c>
      <c r="HF374" s="81">
        <v>83.674277666666669</v>
      </c>
      <c r="HG374" s="81">
        <v>200.138024</v>
      </c>
      <c r="HI374" s="81">
        <v>100.16024</v>
      </c>
      <c r="HJ374" s="81">
        <v>21.841730666666667</v>
      </c>
    </row>
    <row r="375" spans="1:218">
      <c r="A375" s="81" t="s">
        <v>1016</v>
      </c>
      <c r="C375" s="81" t="s">
        <v>914</v>
      </c>
      <c r="E375" s="81" t="s">
        <v>129</v>
      </c>
      <c r="F375" s="81" t="s">
        <v>767</v>
      </c>
      <c r="GX375" s="81">
        <v>9.3070056840373283</v>
      </c>
      <c r="GZ375" s="81">
        <v>2.0968979370290803</v>
      </c>
      <c r="HA375" s="81">
        <v>0.14948755673219269</v>
      </c>
      <c r="HB375" s="81">
        <v>10.274205057629395</v>
      </c>
      <c r="HC375" s="81">
        <v>68.506735000000006</v>
      </c>
      <c r="HE375" s="81">
        <v>168.40349866666668</v>
      </c>
      <c r="HF375" s="81">
        <v>65.434140333333332</v>
      </c>
      <c r="HG375" s="81">
        <v>209.86331733333336</v>
      </c>
      <c r="HI375" s="81">
        <v>87.846360000000004</v>
      </c>
      <c r="HJ375" s="81">
        <v>27.582052666666669</v>
      </c>
    </row>
    <row r="376" spans="1:218">
      <c r="A376" s="81" t="s">
        <v>1017</v>
      </c>
      <c r="C376" s="81" t="s">
        <v>915</v>
      </c>
      <c r="E376" s="81" t="s">
        <v>129</v>
      </c>
      <c r="F376" s="81" t="s">
        <v>767</v>
      </c>
      <c r="GX376" s="81">
        <v>10.146486308321379</v>
      </c>
      <c r="GZ376" s="81">
        <v>1.537927843499906</v>
      </c>
      <c r="HA376" s="81">
        <v>0.13782322077352263</v>
      </c>
      <c r="HB376" s="81">
        <v>10.729574635554338</v>
      </c>
      <c r="HC376" s="81">
        <v>78.702324999999988</v>
      </c>
      <c r="HE376" s="81">
        <v>128.82358666666667</v>
      </c>
      <c r="HF376" s="81">
        <v>64.741429999999994</v>
      </c>
      <c r="HG376" s="81">
        <v>188.57849066666668</v>
      </c>
      <c r="HI376" s="81">
        <v>81.445399999999992</v>
      </c>
      <c r="HJ376" s="81">
        <v>22.250218</v>
      </c>
    </row>
    <row r="377" spans="1:218">
      <c r="A377" s="81" t="s">
        <v>1018</v>
      </c>
      <c r="C377" s="81" t="s">
        <v>916</v>
      </c>
      <c r="E377" s="81" t="s">
        <v>129</v>
      </c>
      <c r="F377" s="81" t="s">
        <v>767</v>
      </c>
      <c r="GX377" s="81">
        <v>8.688383763735132</v>
      </c>
      <c r="GZ377" s="81">
        <v>1.5455654735853088</v>
      </c>
      <c r="HA377" s="81">
        <v>0.15061583373690082</v>
      </c>
      <c r="HB377" s="81">
        <v>10.580448358271802</v>
      </c>
      <c r="HC377" s="81">
        <v>79.833245000000005</v>
      </c>
      <c r="HE377" s="81">
        <v>138.94818533333333</v>
      </c>
      <c r="HF377" s="81">
        <v>64.485831000000005</v>
      </c>
      <c r="HG377" s="81">
        <v>173.63707733333334</v>
      </c>
      <c r="HI377" s="81">
        <v>81.352440000000001</v>
      </c>
      <c r="HJ377" s="81">
        <v>24.123731333333335</v>
      </c>
    </row>
    <row r="378" spans="1:218">
      <c r="A378" s="81" t="s">
        <v>1019</v>
      </c>
      <c r="C378" s="81" t="s">
        <v>917</v>
      </c>
      <c r="E378" s="81" t="s">
        <v>129</v>
      </c>
      <c r="F378" s="81" t="s">
        <v>767</v>
      </c>
      <c r="GX378" s="81">
        <v>8.7456141281812023</v>
      </c>
      <c r="GZ378" s="81">
        <v>1.522547358309305</v>
      </c>
      <c r="HA378" s="81">
        <v>0.15663446342727821</v>
      </c>
      <c r="HB378" s="81">
        <v>10.997229893030998</v>
      </c>
      <c r="HC378" s="81">
        <v>91.413635000000014</v>
      </c>
      <c r="HE378" s="81">
        <v>38.471656000000003</v>
      </c>
      <c r="HF378" s="81">
        <v>58.169942666666657</v>
      </c>
      <c r="HG378" s="81">
        <v>178.35260266666668</v>
      </c>
      <c r="HI378" s="81">
        <v>73.87912</v>
      </c>
      <c r="HJ378" s="81">
        <v>23.635389333333336</v>
      </c>
    </row>
    <row r="379" spans="1:218">
      <c r="A379" s="81" t="s">
        <v>1020</v>
      </c>
      <c r="C379" s="81" t="s">
        <v>918</v>
      </c>
      <c r="E379" s="81" t="s">
        <v>129</v>
      </c>
      <c r="F379" s="81" t="s">
        <v>767</v>
      </c>
      <c r="GX379" s="81">
        <v>9.1818915555986482</v>
      </c>
      <c r="GZ379" s="81">
        <v>1.7796882987084628</v>
      </c>
      <c r="HA379" s="81">
        <v>0.18246470393146463</v>
      </c>
      <c r="HB379" s="81">
        <v>10.029505872063002</v>
      </c>
      <c r="HC379" s="81">
        <v>84.994510000000005</v>
      </c>
      <c r="HE379" s="81">
        <v>51.722745333333336</v>
      </c>
      <c r="HF379" s="81">
        <v>65.293375666666662</v>
      </c>
      <c r="HG379" s="81">
        <v>185.59402933333334</v>
      </c>
      <c r="HI379" s="81">
        <v>71.349280000000007</v>
      </c>
      <c r="HJ379" s="81">
        <v>20.585555333333332</v>
      </c>
    </row>
    <row r="380" spans="1:218">
      <c r="A380" s="81" t="s">
        <v>1021</v>
      </c>
      <c r="C380" s="81" t="s">
        <v>919</v>
      </c>
      <c r="E380" s="81" t="s">
        <v>129</v>
      </c>
      <c r="F380" s="81" t="s">
        <v>767</v>
      </c>
      <c r="GX380" s="81">
        <v>8.9021752495475877</v>
      </c>
      <c r="GZ380" s="81">
        <v>1.8209205805189377</v>
      </c>
      <c r="HA380" s="81">
        <v>0.15714609880589733</v>
      </c>
      <c r="HB380" s="81">
        <v>12.198971654495836</v>
      </c>
      <c r="HC380" s="81">
        <v>70.87243500000001</v>
      </c>
      <c r="HE380" s="81">
        <v>99.648076000000003</v>
      </c>
      <c r="HF380" s="81">
        <v>76.95832133333333</v>
      </c>
      <c r="HG380" s="81">
        <v>168.68080800000001</v>
      </c>
      <c r="HI380" s="81">
        <v>92.481079999999977</v>
      </c>
      <c r="HJ380" s="81">
        <v>30.576602666666663</v>
      </c>
    </row>
    <row r="381" spans="1:218">
      <c r="A381" s="81" t="s">
        <v>1022</v>
      </c>
      <c r="C381" s="81" t="s">
        <v>920</v>
      </c>
      <c r="E381" s="81" t="s">
        <v>129</v>
      </c>
      <c r="F381" s="81" t="s">
        <v>767</v>
      </c>
      <c r="GX381" s="81">
        <v>9.0512548330112992</v>
      </c>
      <c r="GZ381" s="81">
        <v>1.7923278143293917</v>
      </c>
      <c r="HA381" s="81">
        <v>0.14517927571459774</v>
      </c>
      <c r="HB381" s="81">
        <v>9.8134414831294325</v>
      </c>
      <c r="HC381" s="81">
        <v>101.16205000000001</v>
      </c>
      <c r="HE381" s="81">
        <v>121.3267</v>
      </c>
      <c r="HF381" s="81">
        <v>65.619356999999994</v>
      </c>
      <c r="HG381" s="81">
        <v>194.71937333333335</v>
      </c>
      <c r="HI381" s="81">
        <v>81.737559999999988</v>
      </c>
      <c r="HJ381" s="81">
        <v>22.563494000000002</v>
      </c>
    </row>
    <row r="382" spans="1:218">
      <c r="A382" s="81" t="s">
        <v>1023</v>
      </c>
      <c r="C382" s="81" t="s">
        <v>921</v>
      </c>
      <c r="E382" s="81" t="s">
        <v>129</v>
      </c>
      <c r="F382" s="81" t="s">
        <v>767</v>
      </c>
      <c r="GX382" s="81">
        <v>9.1686858964262843</v>
      </c>
      <c r="GZ382" s="81">
        <v>1.7054244612247895</v>
      </c>
      <c r="HA382" s="81">
        <v>0.15713140657374103</v>
      </c>
      <c r="HB382" s="81">
        <v>11.038885872987462</v>
      </c>
      <c r="HC382" s="81">
        <v>85.450339999999997</v>
      </c>
      <c r="HE382" s="81">
        <v>50.776890666666667</v>
      </c>
      <c r="HF382" s="81">
        <v>67.986425999999994</v>
      </c>
      <c r="HG382" s="81">
        <v>178.83409066666664</v>
      </c>
      <c r="HI382" s="81">
        <v>72.730399999999989</v>
      </c>
      <c r="HJ382" s="81">
        <v>22.241004000000004</v>
      </c>
    </row>
    <row r="383" spans="1:218">
      <c r="A383" s="81" t="s">
        <v>1024</v>
      </c>
      <c r="C383" s="81" t="s">
        <v>922</v>
      </c>
      <c r="E383" s="81" t="s">
        <v>129</v>
      </c>
      <c r="F383" s="81" t="s">
        <v>767</v>
      </c>
      <c r="GX383" s="81">
        <v>9.3573165334213275</v>
      </c>
      <c r="GZ383" s="81">
        <v>2.3328528150644385</v>
      </c>
      <c r="HA383" s="81">
        <v>0.19800778917939565</v>
      </c>
      <c r="HB383" s="81">
        <v>11.306257122236046</v>
      </c>
      <c r="HC383" s="81">
        <v>73.890145000000004</v>
      </c>
      <c r="HE383" s="81">
        <v>84.292384000000013</v>
      </c>
      <c r="HF383" s="81">
        <v>90.438390333333317</v>
      </c>
      <c r="HG383" s="81">
        <v>177.38198399999999</v>
      </c>
      <c r="HI383" s="81">
        <v>122.89228000000001</v>
      </c>
      <c r="HJ383" s="81">
        <v>33.122738000000005</v>
      </c>
    </row>
    <row r="384" spans="1:218">
      <c r="A384" s="81" t="s">
        <v>1025</v>
      </c>
      <c r="C384" s="81" t="s">
        <v>923</v>
      </c>
      <c r="E384" s="81" t="s">
        <v>129</v>
      </c>
      <c r="F384" s="81" t="s">
        <v>767</v>
      </c>
      <c r="GX384" s="81">
        <v>7.6372600245415789</v>
      </c>
      <c r="GZ384" s="81">
        <v>2.2245154098196562</v>
      </c>
      <c r="HA384" s="81">
        <v>0.1381935514487562</v>
      </c>
      <c r="HB384" s="81">
        <v>12.410166148223304</v>
      </c>
      <c r="HC384" s="81">
        <v>80.964164999999994</v>
      </c>
      <c r="HE384" s="81">
        <v>138.07836399999999</v>
      </c>
      <c r="HF384" s="81">
        <v>80.973818666666659</v>
      </c>
      <c r="HG384" s="81">
        <v>173.20526666666669</v>
      </c>
      <c r="HI384" s="81">
        <v>116.28215999999999</v>
      </c>
      <c r="HJ384" s="81">
        <v>33.463656</v>
      </c>
    </row>
    <row r="385" spans="1:218">
      <c r="A385" s="81" t="s">
        <v>1026</v>
      </c>
      <c r="C385" s="81" t="s">
        <v>924</v>
      </c>
      <c r="E385" s="81" t="s">
        <v>129</v>
      </c>
      <c r="F385" s="81" t="s">
        <v>767</v>
      </c>
      <c r="GX385" s="81">
        <v>8.8897506644343292</v>
      </c>
      <c r="GZ385" s="81">
        <v>2.2434593260859987</v>
      </c>
      <c r="HA385" s="81">
        <v>0.16407867176129109</v>
      </c>
      <c r="HB385" s="81">
        <v>11.960190566873385</v>
      </c>
      <c r="HC385" s="81">
        <v>75.349955000000008</v>
      </c>
      <c r="HE385" s="81">
        <v>127.61009466666667</v>
      </c>
      <c r="HF385" s="81">
        <v>85.422722999999976</v>
      </c>
      <c r="HG385" s="81">
        <v>180.33587466666668</v>
      </c>
      <c r="HI385" s="81">
        <v>111.093</v>
      </c>
      <c r="HJ385" s="81">
        <v>32.31804866666667</v>
      </c>
    </row>
    <row r="386" spans="1:218">
      <c r="A386" s="81" t="s">
        <v>1027</v>
      </c>
      <c r="C386" s="81" t="s">
        <v>925</v>
      </c>
      <c r="E386" s="81" t="s">
        <v>129</v>
      </c>
      <c r="F386" s="81" t="s">
        <v>767</v>
      </c>
      <c r="GX386" s="81">
        <v>8.485817296839393</v>
      </c>
      <c r="GZ386" s="81">
        <v>2.1727020412889879</v>
      </c>
      <c r="HA386" s="81">
        <v>0.15428197778437081</v>
      </c>
      <c r="HB386" s="81">
        <v>12.047384332529724</v>
      </c>
      <c r="HC386" s="81">
        <v>85.92636499999999</v>
      </c>
      <c r="HE386" s="81">
        <v>175.55063200000004</v>
      </c>
      <c r="HF386" s="81">
        <v>79.240190666666663</v>
      </c>
      <c r="HG386" s="81">
        <v>175.948984</v>
      </c>
      <c r="HI386" s="81">
        <v>116.60088</v>
      </c>
      <c r="HJ386" s="81">
        <v>31.734495333333332</v>
      </c>
    </row>
    <row r="387" spans="1:218">
      <c r="A387" s="81" t="s">
        <v>1028</v>
      </c>
      <c r="C387" s="81" t="s">
        <v>926</v>
      </c>
      <c r="E387" s="81" t="s">
        <v>129</v>
      </c>
      <c r="F387" s="81" t="s">
        <v>767</v>
      </c>
      <c r="GX387" s="81">
        <v>7.8576747847206088</v>
      </c>
      <c r="GZ387" s="81">
        <v>1.9558730903650217</v>
      </c>
      <c r="HA387" s="81">
        <v>0.10454531493952189</v>
      </c>
      <c r="HB387" s="81">
        <v>11.557119538323457</v>
      </c>
      <c r="HC387" s="81">
        <v>67.052695</v>
      </c>
      <c r="HE387" s="81">
        <v>66.911163999999999</v>
      </c>
      <c r="HF387" s="81">
        <v>81.633189999999999</v>
      </c>
      <c r="HG387" s="81">
        <v>197.18413333333334</v>
      </c>
      <c r="HI387" s="81">
        <v>110.63484000000001</v>
      </c>
      <c r="HJ387" s="81">
        <v>32.216694666666662</v>
      </c>
    </row>
    <row r="388" spans="1:218">
      <c r="A388" s="81" t="s">
        <v>1029</v>
      </c>
      <c r="C388" s="81" t="s">
        <v>927</v>
      </c>
      <c r="E388" s="81" t="s">
        <v>129</v>
      </c>
      <c r="F388" s="81" t="s">
        <v>767</v>
      </c>
      <c r="GX388" s="81">
        <v>8.7208350543446027</v>
      </c>
      <c r="GZ388" s="81">
        <v>1.7495842737211127</v>
      </c>
      <c r="HA388" s="81">
        <v>0.1268053430297294</v>
      </c>
      <c r="HB388" s="81">
        <v>9.8652710049744385</v>
      </c>
      <c r="HC388" s="81">
        <v>68.249970000000005</v>
      </c>
      <c r="HE388" s="81">
        <v>61.214746666666663</v>
      </c>
      <c r="HF388" s="81">
        <v>55.25463233333334</v>
      </c>
      <c r="HG388" s="81">
        <v>204.42938133333334</v>
      </c>
      <c r="HI388" s="81">
        <v>91.375520000000009</v>
      </c>
      <c r="HJ388" s="81">
        <v>23.589319333333332</v>
      </c>
    </row>
    <row r="389" spans="1:218">
      <c r="A389" s="81" t="s">
        <v>1030</v>
      </c>
      <c r="C389" s="81" t="s">
        <v>928</v>
      </c>
      <c r="E389" s="81" t="s">
        <v>129</v>
      </c>
      <c r="F389" s="81" t="s">
        <v>767</v>
      </c>
      <c r="GX389" s="81">
        <v>9.0367795112524743</v>
      </c>
      <c r="GZ389" s="81">
        <v>1.9827583673144442</v>
      </c>
      <c r="HA389" s="81">
        <v>0.16939077793474092</v>
      </c>
      <c r="HB389" s="81">
        <v>11.149554772486747</v>
      </c>
      <c r="HC389" s="81">
        <v>66.068910000000017</v>
      </c>
      <c r="HE389" s="81">
        <v>41.40654266666666</v>
      </c>
      <c r="HF389" s="81">
        <v>68.093851666666652</v>
      </c>
      <c r="HG389" s="81">
        <v>202.98109599999998</v>
      </c>
      <c r="HI389" s="81">
        <v>104.49948000000001</v>
      </c>
      <c r="HJ389" s="81">
        <v>28.098036666666669</v>
      </c>
    </row>
    <row r="390" spans="1:218">
      <c r="A390" s="81" t="s">
        <v>1031</v>
      </c>
      <c r="C390" s="81" t="s">
        <v>929</v>
      </c>
      <c r="E390" s="81" t="s">
        <v>129</v>
      </c>
      <c r="F390" s="81" t="s">
        <v>767</v>
      </c>
      <c r="GX390" s="81">
        <v>8.580464530087994</v>
      </c>
      <c r="GZ390" s="81">
        <v>2.1066645252176759</v>
      </c>
      <c r="HA390" s="81">
        <v>0.14344559232015527</v>
      </c>
      <c r="HB390" s="81">
        <v>11.651049590393209</v>
      </c>
      <c r="HC390" s="81">
        <v>71.510019999999997</v>
      </c>
      <c r="HE390" s="81">
        <v>103.33417200000001</v>
      </c>
      <c r="HF390" s="81">
        <v>73.672577666666655</v>
      </c>
      <c r="HG390" s="81">
        <v>187.19898933333334</v>
      </c>
      <c r="HI390" s="81">
        <v>113.16467999999999</v>
      </c>
      <c r="HJ390" s="81">
        <v>33.810716666666657</v>
      </c>
    </row>
    <row r="391" spans="1:218">
      <c r="A391" s="81" t="s">
        <v>1032</v>
      </c>
      <c r="C391" s="81" t="s">
        <v>930</v>
      </c>
      <c r="E391" s="81" t="s">
        <v>129</v>
      </c>
      <c r="F391" s="81" t="s">
        <v>767</v>
      </c>
      <c r="GX391" s="81">
        <v>7.9940819422638443</v>
      </c>
      <c r="GZ391" s="81">
        <v>1.6882170421770011</v>
      </c>
      <c r="HA391" s="81">
        <v>0.11230670263832059</v>
      </c>
      <c r="HB391" s="81">
        <v>10.101806663792425</v>
      </c>
      <c r="HC391" s="81">
        <v>67.078659999999999</v>
      </c>
      <c r="HE391" s="81">
        <v>280.05692800000003</v>
      </c>
      <c r="HF391" s="81">
        <v>66.538031666666654</v>
      </c>
      <c r="HG391" s="81">
        <v>194.94101066666667</v>
      </c>
      <c r="HI391" s="81">
        <v>93.291159999999991</v>
      </c>
      <c r="HJ391" s="81">
        <v>25.161842000000004</v>
      </c>
    </row>
    <row r="392" spans="1:218">
      <c r="A392" s="81" t="s">
        <v>1033</v>
      </c>
      <c r="C392" s="81" t="s">
        <v>931</v>
      </c>
      <c r="E392" s="81" t="s">
        <v>129</v>
      </c>
      <c r="F392" s="81" t="s">
        <v>767</v>
      </c>
      <c r="GX392" s="81">
        <v>8.2696892646962823</v>
      </c>
      <c r="GZ392" s="81">
        <v>2.1006536170599053</v>
      </c>
      <c r="HA392" s="81">
        <v>0.11783659954726368</v>
      </c>
      <c r="HB392" s="81">
        <v>10.15862558747436</v>
      </c>
      <c r="HC392" s="81">
        <v>62.889640000000007</v>
      </c>
      <c r="HE392" s="81">
        <v>90.639646666666678</v>
      </c>
      <c r="HF392" s="81">
        <v>67.749348666666648</v>
      </c>
      <c r="HG392" s="81">
        <v>198.50631466666664</v>
      </c>
      <c r="HI392" s="81">
        <v>108.09172000000001</v>
      </c>
      <c r="HJ392" s="81">
        <v>28.085751333333334</v>
      </c>
    </row>
    <row r="393" spans="1:218">
      <c r="A393" s="81" t="s">
        <v>1034</v>
      </c>
      <c r="C393" s="81" t="s">
        <v>932</v>
      </c>
      <c r="E393" s="81" t="s">
        <v>129</v>
      </c>
      <c r="F393" s="81" t="s">
        <v>767</v>
      </c>
      <c r="GX393" s="81">
        <v>9.7540195418441353</v>
      </c>
      <c r="GZ393" s="81">
        <v>1.9457561312997054</v>
      </c>
      <c r="HA393" s="81">
        <v>0.11284469760992595</v>
      </c>
      <c r="HB393" s="81">
        <v>9.6010116076038035</v>
      </c>
      <c r="HC393" s="81">
        <v>55.342480000000002</v>
      </c>
      <c r="HE393" s="81">
        <v>126.73419066666668</v>
      </c>
      <c r="HF393" s="81">
        <v>62.541055999999998</v>
      </c>
      <c r="HG393" s="81">
        <v>232.4856106666667</v>
      </c>
      <c r="HI393" s="81">
        <v>103.98156</v>
      </c>
      <c r="HJ393" s="81">
        <v>28.162534666666669</v>
      </c>
    </row>
    <row r="394" spans="1:218">
      <c r="A394" s="81" t="s">
        <v>1035</v>
      </c>
      <c r="C394" s="81" t="s">
        <v>933</v>
      </c>
      <c r="E394" s="81" t="s">
        <v>129</v>
      </c>
      <c r="F394" s="81" t="s">
        <v>767</v>
      </c>
      <c r="GX394" s="81">
        <v>8.6946173355529872</v>
      </c>
      <c r="GZ394" s="81">
        <v>1.7238729667222614</v>
      </c>
      <c r="HA394" s="81">
        <v>0.10056112727831575</v>
      </c>
      <c r="HB394" s="81">
        <v>11.530792803488369</v>
      </c>
      <c r="HC394" s="81">
        <v>75.802900000000008</v>
      </c>
      <c r="HE394" s="81">
        <v>192.38441199999997</v>
      </c>
      <c r="HF394" s="81">
        <v>65.32671466666666</v>
      </c>
      <c r="HG394" s="81">
        <v>182.1471866666667</v>
      </c>
      <c r="HI394" s="81">
        <v>86.631240000000005</v>
      </c>
      <c r="HJ394" s="81">
        <v>26.270593333333334</v>
      </c>
    </row>
    <row r="395" spans="1:218">
      <c r="A395" s="81" t="s">
        <v>1036</v>
      </c>
      <c r="C395" s="81" t="s">
        <v>934</v>
      </c>
      <c r="E395" s="81" t="s">
        <v>129</v>
      </c>
      <c r="F395" s="81" t="s">
        <v>767</v>
      </c>
      <c r="GX395" s="81">
        <v>8.9317004331183298</v>
      </c>
      <c r="GZ395" s="81">
        <v>2.1644996088000394</v>
      </c>
      <c r="HA395" s="81">
        <v>0.12424414126530758</v>
      </c>
      <c r="HB395" s="81">
        <v>10.922067061477216</v>
      </c>
      <c r="HC395" s="81">
        <v>77.877214999999993</v>
      </c>
      <c r="HE395" s="81">
        <v>89.830652000000001</v>
      </c>
      <c r="HF395" s="81">
        <v>69.986765999999989</v>
      </c>
      <c r="HG395" s="81">
        <v>193.33605066666669</v>
      </c>
      <c r="HI395" s="81">
        <v>98.702760000000012</v>
      </c>
      <c r="HJ395" s="81">
        <v>29.544634666666667</v>
      </c>
    </row>
    <row r="396" spans="1:218">
      <c r="A396" s="81" t="s">
        <v>1037</v>
      </c>
      <c r="C396" s="81" t="s">
        <v>935</v>
      </c>
      <c r="E396" s="81" t="s">
        <v>129</v>
      </c>
      <c r="F396" s="81" t="s">
        <v>767</v>
      </c>
      <c r="GX396" s="81">
        <v>9.3132839005797141</v>
      </c>
      <c r="GZ396" s="81">
        <v>1.9990870152509768</v>
      </c>
      <c r="HA396" s="81">
        <v>0.12114926577403225</v>
      </c>
      <c r="HB396" s="81">
        <v>10.525635490172958</v>
      </c>
      <c r="HC396" s="81">
        <v>61.274040000000007</v>
      </c>
      <c r="HE396" s="81">
        <v>140.12214</v>
      </c>
      <c r="HF396" s="81">
        <v>70.923962333333336</v>
      </c>
      <c r="HG396" s="81">
        <v>222.77560266666669</v>
      </c>
      <c r="HI396" s="81">
        <v>112.05580000000002</v>
      </c>
      <c r="HJ396" s="81">
        <v>31.811278666666663</v>
      </c>
    </row>
    <row r="397" spans="1:218">
      <c r="A397" s="81" t="s">
        <v>1038</v>
      </c>
      <c r="C397" s="81" t="s">
        <v>936</v>
      </c>
      <c r="E397" s="81" t="s">
        <v>129</v>
      </c>
      <c r="F397" s="81" t="s">
        <v>767</v>
      </c>
      <c r="GX397" s="81">
        <v>9.5622921464801394</v>
      </c>
      <c r="GZ397" s="81">
        <v>2.1430979773416339</v>
      </c>
      <c r="HA397" s="81">
        <v>0.13422837726445819</v>
      </c>
      <c r="HB397" s="81">
        <v>10.992865741247511</v>
      </c>
      <c r="HC397" s="81">
        <v>67.964354999999998</v>
      </c>
      <c r="HE397" s="81">
        <v>158.71685199999999</v>
      </c>
      <c r="HF397" s="81">
        <v>72.057488333333325</v>
      </c>
      <c r="HG397" s="81">
        <v>201.43345599999998</v>
      </c>
      <c r="HI397" s="81">
        <v>111.48475999999999</v>
      </c>
      <c r="HJ397" s="81">
        <v>32.047771333333337</v>
      </c>
    </row>
    <row r="398" spans="1:218">
      <c r="A398" s="81" t="s">
        <v>1039</v>
      </c>
      <c r="C398" s="81" t="s">
        <v>937</v>
      </c>
      <c r="E398" s="81" t="s">
        <v>129</v>
      </c>
      <c r="F398" s="81" t="s">
        <v>767</v>
      </c>
      <c r="GX398" s="81">
        <v>8.7254138506718544</v>
      </c>
      <c r="GZ398" s="81">
        <v>1.9029852890646684</v>
      </c>
      <c r="HA398" s="81">
        <v>0.12200400798594831</v>
      </c>
      <c r="HB398" s="81">
        <v>11.156480757678603</v>
      </c>
      <c r="HC398" s="81">
        <v>77.213665000000006</v>
      </c>
      <c r="HE398" s="81">
        <v>149.34954533333334</v>
      </c>
      <c r="HF398" s="81">
        <v>72.042670999999984</v>
      </c>
      <c r="HG398" s="81">
        <v>197.06949333333333</v>
      </c>
      <c r="HI398" s="81">
        <v>105.25312000000001</v>
      </c>
      <c r="HJ398" s="81">
        <v>26.547013333333336</v>
      </c>
    </row>
    <row r="399" spans="1:218">
      <c r="A399" s="81" t="s">
        <v>1040</v>
      </c>
      <c r="C399" s="81" t="s">
        <v>938</v>
      </c>
      <c r="E399" s="81" t="s">
        <v>129</v>
      </c>
      <c r="F399" s="81" t="s">
        <v>767</v>
      </c>
      <c r="GX399" s="81">
        <v>4.113371807058102</v>
      </c>
      <c r="GY399" s="81">
        <v>0.89540303466795124</v>
      </c>
      <c r="GZ399" s="81">
        <v>1.9953148404873191</v>
      </c>
      <c r="HA399" s="81">
        <v>6.6175254289940547E-2</v>
      </c>
      <c r="HB399" s="81">
        <v>10.543331830488016</v>
      </c>
      <c r="HC399" s="81">
        <v>59.860390000000002</v>
      </c>
      <c r="HD399" s="81">
        <v>159.51523399999999</v>
      </c>
      <c r="HE399" s="81">
        <v>50.804262666666666</v>
      </c>
      <c r="HF399" s="81">
        <v>123.69589499999999</v>
      </c>
      <c r="HG399" s="81">
        <v>144.07524266666667</v>
      </c>
      <c r="HH399" s="81">
        <v>24.611435333333333</v>
      </c>
      <c r="HI399" s="81">
        <v>134.7148</v>
      </c>
      <c r="HJ399" s="81">
        <v>25.527330666666668</v>
      </c>
    </row>
    <row r="400" spans="1:218">
      <c r="A400" s="81" t="s">
        <v>1041</v>
      </c>
      <c r="C400" s="81" t="s">
        <v>939</v>
      </c>
      <c r="E400" s="81" t="s">
        <v>129</v>
      </c>
      <c r="F400" s="81" t="s">
        <v>767</v>
      </c>
      <c r="GX400" s="81">
        <v>4.8870490280646592</v>
      </c>
      <c r="GY400" s="81">
        <v>0.88137141303943356</v>
      </c>
      <c r="GZ400" s="81">
        <v>1.9899443829905674</v>
      </c>
      <c r="HA400" s="81">
        <v>0.10561698363798082</v>
      </c>
      <c r="HB400" s="81">
        <v>11.6911066292228</v>
      </c>
      <c r="HC400" s="81">
        <v>69.828064999999995</v>
      </c>
      <c r="HE400" s="81">
        <v>53.407643999999998</v>
      </c>
      <c r="HF400" s="81">
        <v>111.71237666666666</v>
      </c>
      <c r="HG400" s="81">
        <v>140.17748266666669</v>
      </c>
      <c r="HH400" s="81">
        <v>23.640675666666667</v>
      </c>
      <c r="HI400" s="81">
        <v>130.86360000000002</v>
      </c>
      <c r="HJ400" s="81">
        <v>26.780434666666665</v>
      </c>
    </row>
    <row r="401" spans="1:218">
      <c r="A401" s="81" t="s">
        <v>1042</v>
      </c>
      <c r="C401" s="81" t="s">
        <v>940</v>
      </c>
      <c r="E401" s="81" t="s">
        <v>129</v>
      </c>
      <c r="F401" s="81" t="s">
        <v>767</v>
      </c>
      <c r="GX401" s="81">
        <v>5.6394799498384849</v>
      </c>
      <c r="GY401" s="81">
        <v>0.43432657773009192</v>
      </c>
      <c r="GZ401" s="81">
        <v>2.4124347819269119</v>
      </c>
      <c r="HA401" s="81">
        <v>0.1234295866295838</v>
      </c>
      <c r="HB401" s="81">
        <v>13.845339635742272</v>
      </c>
      <c r="HC401" s="81">
        <v>83.497194999999991</v>
      </c>
      <c r="HE401" s="81">
        <v>52.337094666666665</v>
      </c>
      <c r="HF401" s="81">
        <v>118.80987933333334</v>
      </c>
      <c r="HG401" s="81">
        <v>173.58357866666668</v>
      </c>
      <c r="HH401" s="81">
        <v>11.088171333333333</v>
      </c>
      <c r="HI401" s="81">
        <v>144.89059999999998</v>
      </c>
      <c r="HJ401" s="81">
        <v>39.157907999999999</v>
      </c>
    </row>
    <row r="402" spans="1:218">
      <c r="A402" s="81" t="s">
        <v>1043</v>
      </c>
      <c r="C402" s="81" t="s">
        <v>941</v>
      </c>
      <c r="E402" s="81" t="s">
        <v>129</v>
      </c>
      <c r="F402" s="81" t="s">
        <v>767</v>
      </c>
      <c r="GX402" s="81">
        <v>8.0770769024095497</v>
      </c>
      <c r="GZ402" s="81">
        <v>2.4889009506356881</v>
      </c>
      <c r="HA402" s="81">
        <v>0.17704672726159446</v>
      </c>
      <c r="HB402" s="81">
        <v>12.860782817854849</v>
      </c>
      <c r="HC402" s="81">
        <v>71.227289999999996</v>
      </c>
      <c r="HE402" s="81">
        <v>89.067277333333337</v>
      </c>
      <c r="HF402" s="81">
        <v>76.684200666666655</v>
      </c>
      <c r="HG402" s="81">
        <v>184.9673306666667</v>
      </c>
      <c r="HI402" s="81">
        <v>107.11896000000002</v>
      </c>
      <c r="HJ402" s="81">
        <v>30.38618</v>
      </c>
    </row>
    <row r="403" spans="1:218">
      <c r="A403" s="81" t="s">
        <v>1044</v>
      </c>
      <c r="C403" s="81" t="s">
        <v>942</v>
      </c>
      <c r="E403" s="81" t="s">
        <v>129</v>
      </c>
      <c r="F403" s="81" t="s">
        <v>767</v>
      </c>
      <c r="GX403" s="81">
        <v>8.8061315126260045</v>
      </c>
      <c r="GZ403" s="81">
        <v>2.7620133426879683</v>
      </c>
      <c r="HA403" s="81">
        <v>0.19631040424086885</v>
      </c>
      <c r="HB403" s="81">
        <v>12.889935236581422</v>
      </c>
      <c r="HC403" s="81">
        <v>73.665115</v>
      </c>
      <c r="HE403" s="81">
        <v>59.520724000000008</v>
      </c>
      <c r="HF403" s="81">
        <v>90.038322333333326</v>
      </c>
      <c r="HG403" s="81">
        <v>201.39142133333334</v>
      </c>
      <c r="HI403" s="81">
        <v>147.88192000000001</v>
      </c>
      <c r="HJ403" s="81">
        <v>38.887630666666666</v>
      </c>
    </row>
    <row r="404" spans="1:218">
      <c r="A404" s="81" t="s">
        <v>1045</v>
      </c>
      <c r="C404" s="81" t="s">
        <v>943</v>
      </c>
      <c r="E404" s="81" t="s">
        <v>129</v>
      </c>
      <c r="F404" s="81" t="s">
        <v>767</v>
      </c>
      <c r="GX404" s="81">
        <v>5.5450880677245928</v>
      </c>
      <c r="GZ404" s="81">
        <v>2.2877931864529004</v>
      </c>
      <c r="HA404" s="81">
        <v>9.3994995877878892E-2</v>
      </c>
      <c r="HB404" s="81">
        <v>12.766151924188064</v>
      </c>
      <c r="HC404" s="81">
        <v>67.087315000000004</v>
      </c>
      <c r="HE404" s="81">
        <v>116.34195466666669</v>
      </c>
      <c r="HF404" s="81">
        <v>72.827989666666667</v>
      </c>
      <c r="HG404" s="81">
        <v>173.01802133333334</v>
      </c>
      <c r="HI404" s="81">
        <v>131.33172000000002</v>
      </c>
      <c r="HJ404" s="81">
        <v>31.181655333333335</v>
      </c>
    </row>
    <row r="405" spans="1:218">
      <c r="A405" s="81" t="s">
        <v>1046</v>
      </c>
      <c r="C405" s="81" t="s">
        <v>944</v>
      </c>
      <c r="E405" s="81" t="s">
        <v>129</v>
      </c>
      <c r="F405" s="81" t="s">
        <v>767</v>
      </c>
      <c r="GX405" s="81">
        <v>6.9899753566089027</v>
      </c>
      <c r="GY405" s="81">
        <v>0.37085518173912746</v>
      </c>
      <c r="GZ405" s="81">
        <v>2.4089549620831154</v>
      </c>
      <c r="HA405" s="81">
        <v>0.11934384971670912</v>
      </c>
      <c r="HB405" s="81">
        <v>13.195123855210833</v>
      </c>
      <c r="HC405" s="81">
        <v>69.150090000000006</v>
      </c>
      <c r="HE405" s="81">
        <v>113.19113333333333</v>
      </c>
      <c r="HF405" s="81">
        <v>89.112238999999988</v>
      </c>
      <c r="HG405" s="81">
        <v>203.542832</v>
      </c>
      <c r="HI405" s="81">
        <v>138.81832</v>
      </c>
      <c r="HJ405" s="81">
        <v>45.441856000000001</v>
      </c>
    </row>
    <row r="406" spans="1:218">
      <c r="A406" s="81" t="s">
        <v>1047</v>
      </c>
      <c r="C406" s="81" t="s">
        <v>945</v>
      </c>
      <c r="E406" s="81" t="s">
        <v>129</v>
      </c>
      <c r="F406" s="81" t="s">
        <v>767</v>
      </c>
      <c r="GX406" s="81">
        <v>5.3112181386043167</v>
      </c>
      <c r="GY406" s="81">
        <v>0.77105686315869493</v>
      </c>
      <c r="GZ406" s="81">
        <v>2.7569864306612488</v>
      </c>
      <c r="HA406" s="81">
        <v>0.13617164102936538</v>
      </c>
      <c r="HB406" s="81">
        <v>12.341888986371464</v>
      </c>
      <c r="HC406" s="81">
        <v>73.792055000000005</v>
      </c>
      <c r="HE406" s="81">
        <v>164.37373199999999</v>
      </c>
      <c r="HF406" s="81">
        <v>219.83445800000001</v>
      </c>
      <c r="HG406" s="81">
        <v>211.98797866666669</v>
      </c>
      <c r="HH406" s="81">
        <v>19.276850666666665</v>
      </c>
      <c r="HI406" s="81">
        <v>168.58876000000001</v>
      </c>
      <c r="HJ406" s="81">
        <v>35.804012000000007</v>
      </c>
    </row>
    <row r="407" spans="1:218">
      <c r="A407" s="81" t="s">
        <v>1048</v>
      </c>
      <c r="C407" s="81" t="s">
        <v>946</v>
      </c>
      <c r="E407" s="81" t="s">
        <v>129</v>
      </c>
      <c r="F407" s="81" t="s">
        <v>767</v>
      </c>
      <c r="GX407" s="81">
        <v>7.7611704143795537</v>
      </c>
      <c r="GZ407" s="81">
        <v>2.5189725549412643</v>
      </c>
      <c r="HA407" s="81">
        <v>0.18106375638291464</v>
      </c>
      <c r="HB407" s="81">
        <v>12.883795763402675</v>
      </c>
      <c r="HC407" s="81">
        <v>84.273260000000008</v>
      </c>
      <c r="HE407" s="81">
        <v>45.12609333333333</v>
      </c>
      <c r="HF407" s="81">
        <v>90.938475333333315</v>
      </c>
      <c r="HG407" s="81">
        <v>167.96621866666666</v>
      </c>
      <c r="HI407" s="81">
        <v>139.77780000000001</v>
      </c>
      <c r="HJ407" s="81">
        <v>34.974752000000002</v>
      </c>
    </row>
    <row r="408" spans="1:218">
      <c r="A408" s="81" t="s">
        <v>1049</v>
      </c>
      <c r="C408" s="81" t="s">
        <v>947</v>
      </c>
      <c r="E408" s="81" t="s">
        <v>129</v>
      </c>
      <c r="F408" s="81" t="s">
        <v>767</v>
      </c>
      <c r="GX408" s="81">
        <v>6.9176438097797233</v>
      </c>
      <c r="GY408" s="81">
        <v>0.43812844905768022</v>
      </c>
      <c r="GZ408" s="81">
        <v>2.2490294267284141</v>
      </c>
      <c r="HA408" s="81">
        <v>0.10432277083480158</v>
      </c>
      <c r="HB408" s="81">
        <v>13.331985584525126</v>
      </c>
      <c r="HC408" s="81">
        <v>81.593095000000005</v>
      </c>
      <c r="HE408" s="81">
        <v>106.71309333333335</v>
      </c>
      <c r="HF408" s="81">
        <v>70.053443999999985</v>
      </c>
      <c r="HG408" s="81">
        <v>173.94278399999999</v>
      </c>
      <c r="HH408" s="81">
        <v>10.466517666666666</v>
      </c>
      <c r="HI408" s="81">
        <v>141.69676000000001</v>
      </c>
      <c r="HJ408" s="81">
        <v>43.144498666666664</v>
      </c>
    </row>
    <row r="409" spans="1:218">
      <c r="A409" s="81" t="s">
        <v>1050</v>
      </c>
      <c r="C409" s="81" t="s">
        <v>948</v>
      </c>
      <c r="E409" s="81" t="s">
        <v>129</v>
      </c>
      <c r="F409" s="81" t="s">
        <v>767</v>
      </c>
      <c r="GX409" s="81">
        <v>9.0309982280457657</v>
      </c>
      <c r="GZ409" s="81">
        <v>2.1478854313503355</v>
      </c>
      <c r="HA409" s="81">
        <v>0.21547037134609873</v>
      </c>
      <c r="HB409" s="81">
        <v>12.141294946773977</v>
      </c>
      <c r="HC409" s="81">
        <v>85.017589999999998</v>
      </c>
      <c r="HE409" s="81">
        <v>60.941026666666666</v>
      </c>
      <c r="HF409" s="81">
        <v>97.061738333333324</v>
      </c>
      <c r="HG409" s="81">
        <v>170.66025866666669</v>
      </c>
      <c r="HI409" s="81">
        <v>126.25212000000001</v>
      </c>
      <c r="HJ409" s="81">
        <v>37.10011466666667</v>
      </c>
    </row>
    <row r="410" spans="1:218">
      <c r="A410" s="81" t="s">
        <v>1051</v>
      </c>
      <c r="C410" s="81" t="s">
        <v>949</v>
      </c>
      <c r="E410" s="81" t="s">
        <v>129</v>
      </c>
      <c r="F410" s="81" t="s">
        <v>767</v>
      </c>
      <c r="GX410" s="81">
        <v>9.0751418468380862</v>
      </c>
      <c r="GZ410" s="81">
        <v>1.9992553752826476</v>
      </c>
      <c r="HA410" s="81">
        <v>0.15805399232826109</v>
      </c>
      <c r="HB410" s="81">
        <v>12.347525595805449</v>
      </c>
      <c r="HC410" s="81">
        <v>82.247990000000001</v>
      </c>
      <c r="HE410" s="81">
        <v>57.917941333333339</v>
      </c>
      <c r="HF410" s="81">
        <v>85.489400999999987</v>
      </c>
      <c r="HG410" s="81">
        <v>165.287464</v>
      </c>
      <c r="HI410" s="81">
        <v>127.79591999999998</v>
      </c>
      <c r="HJ410" s="81">
        <v>34.983966000000002</v>
      </c>
    </row>
    <row r="411" spans="1:218">
      <c r="A411" s="81" t="s">
        <v>1052</v>
      </c>
      <c r="C411" s="81" t="s">
        <v>950</v>
      </c>
      <c r="E411" s="81" t="s">
        <v>129</v>
      </c>
      <c r="F411" s="81" t="s">
        <v>767</v>
      </c>
      <c r="GX411" s="81">
        <v>6.9591596484308909</v>
      </c>
      <c r="GY411" s="81">
        <v>0.5237969564485252</v>
      </c>
      <c r="GZ411" s="81">
        <v>2.2145963875483319</v>
      </c>
      <c r="HA411" s="81">
        <v>0.12848328236687293</v>
      </c>
      <c r="HB411" s="81">
        <v>13.522013726126843</v>
      </c>
      <c r="HC411" s="81">
        <v>79.573594999999997</v>
      </c>
      <c r="HE411" s="81">
        <v>96.32998133333335</v>
      </c>
      <c r="HF411" s="81">
        <v>107.64131433333331</v>
      </c>
      <c r="HG411" s="81">
        <v>175.76173866666667</v>
      </c>
      <c r="HH411" s="81">
        <v>12.493782333333334</v>
      </c>
      <c r="HI411" s="81">
        <v>150.27896000000001</v>
      </c>
      <c r="HJ411" s="81">
        <v>47.788354666666663</v>
      </c>
    </row>
    <row r="412" spans="1:218">
      <c r="A412" s="81" t="s">
        <v>1053</v>
      </c>
      <c r="C412" s="81" t="s">
        <v>951</v>
      </c>
      <c r="E412" s="81" t="s">
        <v>129</v>
      </c>
      <c r="F412" s="81" t="s">
        <v>767</v>
      </c>
      <c r="GX412" s="81">
        <v>6.0920101431877187</v>
      </c>
      <c r="GY412" s="81">
        <v>0.86626037793816391</v>
      </c>
      <c r="GZ412" s="81">
        <v>2.3903898558880337</v>
      </c>
      <c r="HA412" s="81">
        <v>0.13011023101594466</v>
      </c>
      <c r="HB412" s="81">
        <v>11.564745285233156</v>
      </c>
      <c r="HC412" s="81">
        <v>67.941275000000005</v>
      </c>
      <c r="HD412" s="81">
        <v>176.37477000000001</v>
      </c>
      <c r="HE412" s="81">
        <v>230.88769199999999</v>
      </c>
      <c r="HF412" s="81">
        <v>173.69698633333334</v>
      </c>
      <c r="HG412" s="81">
        <v>197.10770666666667</v>
      </c>
      <c r="HH412" s="81">
        <v>11.299472333333334</v>
      </c>
      <c r="HI412" s="81">
        <v>159.42224000000002</v>
      </c>
      <c r="HJ412" s="81">
        <v>39.203977999999999</v>
      </c>
    </row>
    <row r="413" spans="1:218">
      <c r="A413" s="81" t="s">
        <v>1054</v>
      </c>
      <c r="C413" s="81" t="s">
        <v>952</v>
      </c>
      <c r="E413" s="81" t="s">
        <v>129</v>
      </c>
      <c r="F413" s="81" t="s">
        <v>767</v>
      </c>
      <c r="GX413" s="81">
        <v>6.837097216396212</v>
      </c>
      <c r="GZ413" s="81">
        <v>1.8302873136323148</v>
      </c>
      <c r="HA413" s="81">
        <v>0.11262604262548233</v>
      </c>
      <c r="HB413" s="81">
        <v>13.197541704726641</v>
      </c>
      <c r="HC413" s="81">
        <v>96.765309999999999</v>
      </c>
      <c r="HE413" s="81">
        <v>42.77514266666666</v>
      </c>
      <c r="HF413" s="81">
        <v>80.088482999999997</v>
      </c>
      <c r="HG413" s="81">
        <v>162.69660000000002</v>
      </c>
      <c r="HI413" s="81">
        <v>115.80739999999999</v>
      </c>
      <c r="HJ413" s="81">
        <v>31.958702666666667</v>
      </c>
    </row>
    <row r="414" spans="1:218">
      <c r="A414" s="81" t="s">
        <v>1055</v>
      </c>
      <c r="C414" s="81" t="s">
        <v>953</v>
      </c>
      <c r="E414" s="81" t="s">
        <v>129</v>
      </c>
      <c r="F414" s="81" t="s">
        <v>767</v>
      </c>
      <c r="GX414" s="81">
        <v>9.2578238872195318</v>
      </c>
      <c r="GZ414" s="81">
        <v>1.8311854233958573</v>
      </c>
      <c r="HA414" s="81">
        <v>0.15164083299203979</v>
      </c>
      <c r="HB414" s="81">
        <v>10.888425584940359</v>
      </c>
      <c r="HC414" s="81">
        <v>102.71706500000001</v>
      </c>
      <c r="HD414" s="81">
        <v>233.59056799999999</v>
      </c>
      <c r="HE414" s="81">
        <v>30.810537333333333</v>
      </c>
      <c r="HF414" s="81">
        <v>93.69079499999998</v>
      </c>
      <c r="HG414" s="81">
        <v>169.38775466666667</v>
      </c>
      <c r="HI414" s="81">
        <v>107.61695999999999</v>
      </c>
      <c r="HJ414" s="81">
        <v>29.722772000000003</v>
      </c>
    </row>
    <row r="415" spans="1:218">
      <c r="A415" s="81" t="s">
        <v>1056</v>
      </c>
      <c r="C415" s="81" t="s">
        <v>954</v>
      </c>
      <c r="E415" s="81" t="s">
        <v>129</v>
      </c>
      <c r="F415" s="81" t="s">
        <v>767</v>
      </c>
      <c r="GX415" s="81">
        <v>6.9650560899924647</v>
      </c>
      <c r="GZ415" s="81">
        <v>1.4991316630936449</v>
      </c>
      <c r="HA415" s="81">
        <v>0.13168662110141974</v>
      </c>
      <c r="HB415" s="81">
        <v>12.672521358614839</v>
      </c>
      <c r="HC415" s="81">
        <v>109.65549</v>
      </c>
      <c r="HE415" s="81">
        <v>40.828689333333337</v>
      </c>
      <c r="HF415" s="81">
        <v>82.451847666666652</v>
      </c>
      <c r="HG415" s="81">
        <v>135.96637333333334</v>
      </c>
      <c r="HI415" s="81">
        <v>91.903399999999991</v>
      </c>
      <c r="HJ415" s="81">
        <v>24.698070666666666</v>
      </c>
    </row>
    <row r="416" spans="1:218">
      <c r="A416" s="81" t="s">
        <v>1057</v>
      </c>
      <c r="C416" s="81" t="s">
        <v>955</v>
      </c>
      <c r="E416" s="81" t="s">
        <v>129</v>
      </c>
      <c r="F416" s="81" t="s">
        <v>767</v>
      </c>
      <c r="GX416" s="81">
        <v>7.8224008626956234</v>
      </c>
      <c r="GZ416" s="81">
        <v>1.5923178030558107</v>
      </c>
      <c r="HA416" s="81">
        <v>0.15880243191928159</v>
      </c>
      <c r="HB416" s="81">
        <v>12.262780276242085</v>
      </c>
      <c r="HC416" s="81">
        <v>103.974925</v>
      </c>
      <c r="HE416" s="81">
        <v>28.064213333333331</v>
      </c>
      <c r="HF416" s="81">
        <v>80.951592666666656</v>
      </c>
      <c r="HG416" s="81">
        <v>141.339168</v>
      </c>
      <c r="HI416" s="81">
        <v>99.210719999999995</v>
      </c>
      <c r="HJ416" s="81">
        <v>28.706160666666666</v>
      </c>
    </row>
    <row r="417" spans="1:218">
      <c r="A417" s="81" t="s">
        <v>1058</v>
      </c>
      <c r="C417" s="81" t="s">
        <v>956</v>
      </c>
      <c r="E417" s="81" t="s">
        <v>129</v>
      </c>
      <c r="F417" s="81" t="s">
        <v>767</v>
      </c>
      <c r="GX417" s="81">
        <v>9.0501420528213234</v>
      </c>
      <c r="GY417" s="81">
        <v>0.38204265247556668</v>
      </c>
      <c r="GZ417" s="81">
        <v>2.1513248675378862</v>
      </c>
      <c r="HA417" s="81">
        <v>0.14875380937332847</v>
      </c>
      <c r="HB417" s="81">
        <v>11.589262502498501</v>
      </c>
      <c r="HC417" s="81">
        <v>94.278440000000003</v>
      </c>
      <c r="HD417" s="81">
        <v>221.19279799999995</v>
      </c>
      <c r="HE417" s="81">
        <v>87.914611999999991</v>
      </c>
      <c r="HF417" s="81">
        <v>98.258237999999992</v>
      </c>
      <c r="HG417" s="81">
        <v>195.23143200000004</v>
      </c>
      <c r="HI417" s="81">
        <v>126.03964000000001</v>
      </c>
      <c r="HJ417" s="81">
        <v>29.581490666666667</v>
      </c>
    </row>
    <row r="418" spans="1:218">
      <c r="A418" s="81" t="s">
        <v>1059</v>
      </c>
      <c r="C418" s="81" t="s">
        <v>957</v>
      </c>
      <c r="E418" s="81" t="s">
        <v>129</v>
      </c>
      <c r="F418" s="81" t="s">
        <v>767</v>
      </c>
      <c r="GX418" s="81">
        <v>6.8223352504714656</v>
      </c>
      <c r="GZ418" s="81">
        <v>1.5111085454818143</v>
      </c>
      <c r="HA418" s="81">
        <v>0.12821061182303115</v>
      </c>
      <c r="HB418" s="81">
        <v>12.362570112779286</v>
      </c>
      <c r="HC418" s="81">
        <v>93.897620000000003</v>
      </c>
      <c r="HE418" s="81">
        <v>543.76485866666656</v>
      </c>
      <c r="HF418" s="81">
        <v>87.415654333333308</v>
      </c>
      <c r="HG418" s="81">
        <v>125.47299200000002</v>
      </c>
      <c r="HI418" s="81">
        <v>85.66843999999999</v>
      </c>
      <c r="HJ418" s="81">
        <v>23.515607333333332</v>
      </c>
    </row>
    <row r="419" spans="1:218">
      <c r="A419" s="81" t="s">
        <v>1060</v>
      </c>
      <c r="C419" s="81" t="s">
        <v>958</v>
      </c>
      <c r="E419" s="81" t="s">
        <v>129</v>
      </c>
      <c r="F419" s="81" t="s">
        <v>767</v>
      </c>
      <c r="GX419" s="81">
        <v>7.8508049212680673</v>
      </c>
      <c r="GZ419" s="81">
        <v>1.6679296583606344</v>
      </c>
      <c r="HA419" s="81">
        <v>0.13309318626814706</v>
      </c>
      <c r="HB419" s="81">
        <v>11.622847105397797</v>
      </c>
      <c r="HC419" s="81">
        <v>103.49890000000001</v>
      </c>
      <c r="HD419" s="81">
        <v>209.16356199999998</v>
      </c>
      <c r="HE419" s="81">
        <v>49.067661333333326</v>
      </c>
      <c r="HF419" s="81">
        <v>89.771610333333328</v>
      </c>
      <c r="HG419" s="81">
        <v>145.431816</v>
      </c>
      <c r="HI419" s="81">
        <v>103.08516000000002</v>
      </c>
      <c r="HJ419" s="81">
        <v>27.843115999999998</v>
      </c>
    </row>
    <row r="420" spans="1:218">
      <c r="A420" s="81" t="s">
        <v>1061</v>
      </c>
      <c r="C420" s="81" t="s">
        <v>959</v>
      </c>
      <c r="E420" s="81" t="s">
        <v>129</v>
      </c>
      <c r="F420" s="81" t="s">
        <v>767</v>
      </c>
      <c r="GX420" s="81">
        <v>6.2268476422852537</v>
      </c>
      <c r="GY420" s="81">
        <v>0.79217832867211557</v>
      </c>
      <c r="GZ420" s="81">
        <v>2.1889772235397871</v>
      </c>
      <c r="HA420" s="81">
        <v>0.11162308171857784</v>
      </c>
      <c r="HB420" s="81">
        <v>10.108305736742841</v>
      </c>
      <c r="HC420" s="81">
        <v>140.43267</v>
      </c>
      <c r="HD420" s="81">
        <v>248.27467999999999</v>
      </c>
      <c r="HE420" s="81">
        <v>135.10089866666667</v>
      </c>
      <c r="HF420" s="81">
        <v>113.31635299999999</v>
      </c>
      <c r="HG420" s="81">
        <v>200.46665866666669</v>
      </c>
      <c r="HI420" s="81">
        <v>141.44112000000001</v>
      </c>
      <c r="HJ420" s="81">
        <v>38.909130000000005</v>
      </c>
    </row>
    <row r="421" spans="1:218">
      <c r="A421" s="81" t="s">
        <v>1062</v>
      </c>
      <c r="C421" s="81" t="s">
        <v>960</v>
      </c>
      <c r="E421" s="81" t="s">
        <v>129</v>
      </c>
      <c r="F421" s="81" t="s">
        <v>767</v>
      </c>
      <c r="GX421" s="81">
        <v>3.869993386093308</v>
      </c>
      <c r="GY421" s="81">
        <v>1.6342108827310717</v>
      </c>
      <c r="GZ421" s="81">
        <v>2.4647720004209894</v>
      </c>
      <c r="HA421" s="81">
        <v>6.7664355231428219E-2</v>
      </c>
      <c r="HB421" s="81">
        <v>10.481641211801323</v>
      </c>
      <c r="HC421" s="81">
        <v>55.933905000000003</v>
      </c>
      <c r="HD421" s="81">
        <v>144.10836600000002</v>
      </c>
      <c r="HE421" s="81">
        <v>57.537774666666657</v>
      </c>
      <c r="HF421" s="81">
        <v>138.99849600000002</v>
      </c>
      <c r="HG421" s="81">
        <v>167.12934666666669</v>
      </c>
      <c r="HH421" s="81">
        <v>38.401122333333326</v>
      </c>
      <c r="HI421" s="81">
        <v>156.28484</v>
      </c>
      <c r="HJ421" s="81">
        <v>32.606754000000002</v>
      </c>
    </row>
    <row r="422" spans="1:218">
      <c r="A422" s="81" t="s">
        <v>1063</v>
      </c>
      <c r="C422" s="81" t="s">
        <v>961</v>
      </c>
      <c r="E422" s="81" t="s">
        <v>129</v>
      </c>
      <c r="F422" s="81" t="s">
        <v>767</v>
      </c>
      <c r="GX422" s="81">
        <v>7.0600195914765367</v>
      </c>
      <c r="GY422" s="81">
        <v>0.3471171275456848</v>
      </c>
      <c r="GZ422" s="81">
        <v>2.2077459543677693</v>
      </c>
      <c r="HA422" s="81">
        <v>0.1799592462243417</v>
      </c>
      <c r="HB422" s="81">
        <v>13.164418210243268</v>
      </c>
      <c r="HC422" s="81">
        <v>88.71327500000001</v>
      </c>
      <c r="HE422" s="81">
        <v>46.692379999999993</v>
      </c>
      <c r="HF422" s="81">
        <v>97.728518333333298</v>
      </c>
      <c r="HG422" s="81">
        <v>178.8340906666667</v>
      </c>
      <c r="HI422" s="81">
        <v>113.13148000000001</v>
      </c>
      <c r="HJ422" s="81">
        <v>39.056553999999998</v>
      </c>
    </row>
    <row r="423" spans="1:218">
      <c r="A423" s="81" t="s">
        <v>1064</v>
      </c>
      <c r="C423" s="81" t="s">
        <v>962</v>
      </c>
      <c r="E423" s="81" t="s">
        <v>129</v>
      </c>
      <c r="F423" s="81" t="s">
        <v>767</v>
      </c>
      <c r="GX423" s="81">
        <v>6.9862706789535656</v>
      </c>
      <c r="GY423" s="81">
        <v>0.41820620626110755</v>
      </c>
      <c r="GZ423" s="81">
        <v>1.8135667735950343</v>
      </c>
      <c r="HA423" s="81">
        <v>0.10107362690588521</v>
      </c>
      <c r="HB423" s="81">
        <v>12.295179891705615</v>
      </c>
      <c r="HC423" s="81">
        <v>58.989120000000007</v>
      </c>
      <c r="HE423" s="81">
        <v>63.684309333333339</v>
      </c>
      <c r="HF423" s="81">
        <v>99.362129333333328</v>
      </c>
      <c r="HG423" s="81">
        <v>145.48531466666665</v>
      </c>
      <c r="HH423" s="81">
        <v>11.523022666666668</v>
      </c>
      <c r="HI423" s="81">
        <v>118.3472</v>
      </c>
      <c r="HJ423" s="81">
        <v>32.278121333333338</v>
      </c>
    </row>
    <row r="424" spans="1:218">
      <c r="A424" s="81" t="s">
        <v>1065</v>
      </c>
      <c r="C424" s="81" t="s">
        <v>963</v>
      </c>
      <c r="E424" s="81" t="s">
        <v>129</v>
      </c>
      <c r="F424" s="81" t="s">
        <v>767</v>
      </c>
      <c r="GX424" s="81">
        <v>8.7778196641855377</v>
      </c>
      <c r="GZ424" s="81">
        <v>2.2618247891354168</v>
      </c>
      <c r="HA424" s="81">
        <v>0.15836641832381992</v>
      </c>
      <c r="HB424" s="81">
        <v>13.177971054090184</v>
      </c>
      <c r="HC424" s="81">
        <v>72.961175000000011</v>
      </c>
      <c r="HE424" s="81">
        <v>176.27751066666667</v>
      </c>
      <c r="HF424" s="81">
        <v>91.312612999999985</v>
      </c>
      <c r="HG424" s="81">
        <v>178.01250400000001</v>
      </c>
      <c r="HI424" s="81">
        <v>118.25756000000001</v>
      </c>
      <c r="HJ424" s="81">
        <v>35.269599999999997</v>
      </c>
    </row>
    <row r="425" spans="1:218">
      <c r="A425" s="81" t="s">
        <v>1066</v>
      </c>
      <c r="C425" s="81" t="s">
        <v>964</v>
      </c>
      <c r="E425" s="81" t="s">
        <v>129</v>
      </c>
      <c r="F425" s="81" t="s">
        <v>767</v>
      </c>
      <c r="GX425" s="81">
        <v>8.4896655051979</v>
      </c>
      <c r="GZ425" s="81">
        <v>2.4673952317252699</v>
      </c>
      <c r="HA425" s="81">
        <v>0.1546782359281155</v>
      </c>
      <c r="HB425" s="81">
        <v>13.023556968353395</v>
      </c>
      <c r="HC425" s="81">
        <v>68.068215000000009</v>
      </c>
      <c r="HE425" s="81">
        <v>133.22743733333331</v>
      </c>
      <c r="HF425" s="81">
        <v>111.25303933333332</v>
      </c>
      <c r="HG425" s="81">
        <v>194.52066400000001</v>
      </c>
      <c r="HI425" s="81">
        <v>119.34652</v>
      </c>
      <c r="HJ425" s="81">
        <v>33.31930333333333</v>
      </c>
    </row>
    <row r="426" spans="1:218">
      <c r="A426" s="81" t="s">
        <v>1067</v>
      </c>
      <c r="C426" s="81" t="s">
        <v>965</v>
      </c>
      <c r="E426" s="81" t="s">
        <v>129</v>
      </c>
      <c r="F426" s="81" t="s">
        <v>767</v>
      </c>
      <c r="GX426" s="81">
        <v>7.9136455003502064</v>
      </c>
      <c r="GY426" s="81">
        <v>0.33100278421476809</v>
      </c>
      <c r="GZ426" s="81">
        <v>1.9596532281031502</v>
      </c>
      <c r="HA426" s="81">
        <v>0.12921919034811308</v>
      </c>
      <c r="HB426" s="81">
        <v>12.09374030669907</v>
      </c>
      <c r="HC426" s="81">
        <v>66.371835000000004</v>
      </c>
      <c r="HE426" s="81">
        <v>136.71888799999999</v>
      </c>
      <c r="HF426" s="81">
        <v>84.007667666666649</v>
      </c>
      <c r="HG426" s="81">
        <v>185.50231733333337</v>
      </c>
      <c r="HI426" s="81">
        <v>110.31612</v>
      </c>
      <c r="HJ426" s="81">
        <v>30.555103333333335</v>
      </c>
    </row>
    <row r="427" spans="1:218">
      <c r="A427" s="81" t="s">
        <v>1068</v>
      </c>
      <c r="C427" s="81" t="s">
        <v>966</v>
      </c>
      <c r="E427" s="81" t="s">
        <v>129</v>
      </c>
      <c r="F427" s="81" t="s">
        <v>767</v>
      </c>
      <c r="GX427" s="81">
        <v>7.943758575667359</v>
      </c>
      <c r="GZ427" s="81">
        <v>2.7895077871844172</v>
      </c>
      <c r="HA427" s="81">
        <v>0.15456026594638997</v>
      </c>
      <c r="HB427" s="81">
        <v>15.158821176907312</v>
      </c>
      <c r="HC427" s="81">
        <v>72.718835000000013</v>
      </c>
      <c r="HE427" s="81">
        <v>218.98999599999999</v>
      </c>
      <c r="HF427" s="81">
        <v>99.402876999999989</v>
      </c>
      <c r="HG427" s="81">
        <v>185.544352</v>
      </c>
      <c r="HI427" s="81">
        <v>151.71652000000003</v>
      </c>
      <c r="HJ427" s="81">
        <v>55.383761999999997</v>
      </c>
    </row>
    <row r="428" spans="1:218">
      <c r="A428" s="81" t="s">
        <v>1069</v>
      </c>
      <c r="C428" s="81" t="s">
        <v>967</v>
      </c>
      <c r="E428" s="81" t="s">
        <v>129</v>
      </c>
      <c r="F428" s="81" t="s">
        <v>767</v>
      </c>
      <c r="GX428" s="81">
        <v>9.1211680543882476</v>
      </c>
      <c r="GZ428" s="81">
        <v>2.0031464258794784</v>
      </c>
      <c r="HA428" s="81">
        <v>0.13605539954554058</v>
      </c>
      <c r="HB428" s="81">
        <v>13.756120376677346</v>
      </c>
      <c r="HC428" s="81">
        <v>84.685815000000005</v>
      </c>
      <c r="HE428" s="81">
        <v>106.85299466666667</v>
      </c>
      <c r="HF428" s="81">
        <v>95.30958866666667</v>
      </c>
      <c r="HG428" s="81">
        <v>184.70365866666666</v>
      </c>
      <c r="HI428" s="81">
        <v>108.55984000000001</v>
      </c>
      <c r="HJ428" s="81">
        <v>32.686608666666665</v>
      </c>
    </row>
    <row r="429" spans="1:218">
      <c r="A429" s="81" t="s">
        <v>1070</v>
      </c>
      <c r="C429" s="81" t="s">
        <v>968</v>
      </c>
      <c r="E429" s="81" t="s">
        <v>129</v>
      </c>
      <c r="F429" s="81" t="s">
        <v>767</v>
      </c>
      <c r="GX429" s="81">
        <v>9.1715786242317172</v>
      </c>
      <c r="GZ429" s="81">
        <v>2.1883219844976076</v>
      </c>
      <c r="HA429" s="81">
        <v>0.14176722085853657</v>
      </c>
      <c r="HB429" s="81">
        <v>11.910644989524107</v>
      </c>
      <c r="HC429" s="81">
        <v>64.877404999999996</v>
      </c>
      <c r="HE429" s="81">
        <v>133.76575333333332</v>
      </c>
      <c r="HF429" s="81">
        <v>76.969434333333325</v>
      </c>
      <c r="HG429" s="81">
        <v>212.78281600000003</v>
      </c>
      <c r="HI429" s="81">
        <v>113.15472</v>
      </c>
      <c r="HJ429" s="81">
        <v>31.888062000000001</v>
      </c>
    </row>
    <row r="430" spans="1:218">
      <c r="A430" s="81" t="s">
        <v>1071</v>
      </c>
      <c r="C430" s="81" t="s">
        <v>969</v>
      </c>
      <c r="E430" s="81" t="s">
        <v>129</v>
      </c>
      <c r="F430" s="81" t="s">
        <v>767</v>
      </c>
      <c r="GX430" s="81">
        <v>7.4595531588827635</v>
      </c>
      <c r="GZ430" s="81">
        <v>2.2456377683876894</v>
      </c>
      <c r="HA430" s="81">
        <v>0.13870129770709863</v>
      </c>
      <c r="HB430" s="81">
        <v>14.082779873365267</v>
      </c>
      <c r="HC430" s="81">
        <v>48.822380000000003</v>
      </c>
      <c r="HE430" s="81">
        <v>123.85708933333332</v>
      </c>
      <c r="HF430" s="81">
        <v>86.55624899999998</v>
      </c>
      <c r="HG430" s="81">
        <v>183.50758133333338</v>
      </c>
      <c r="HI430" s="81">
        <v>114.25696000000001</v>
      </c>
      <c r="HJ430" s="81">
        <v>38.466858000000002</v>
      </c>
    </row>
    <row r="431" spans="1:218">
      <c r="A431" s="81" t="s">
        <v>1072</v>
      </c>
      <c r="C431" s="81" t="s">
        <v>970</v>
      </c>
      <c r="E431" s="81" t="s">
        <v>129</v>
      </c>
      <c r="F431" s="81" t="s">
        <v>767</v>
      </c>
      <c r="GX431" s="81">
        <v>5.5412052284115427</v>
      </c>
      <c r="GY431" s="81">
        <v>0.39155957544998748</v>
      </c>
      <c r="GZ431" s="81">
        <v>1.8634548086554099</v>
      </c>
      <c r="HA431" s="81">
        <v>9.5548051241693965E-2</v>
      </c>
      <c r="HB431" s="81">
        <v>15.817708027408436</v>
      </c>
      <c r="HC431" s="81">
        <v>53.646099999999997</v>
      </c>
      <c r="HE431" s="81">
        <v>52.422251999999993</v>
      </c>
      <c r="HF431" s="81">
        <v>67.734531333333322</v>
      </c>
      <c r="HG431" s="81">
        <v>138.44641866666666</v>
      </c>
      <c r="HI431" s="81">
        <v>121.46136</v>
      </c>
      <c r="HJ431" s="81">
        <v>42.456520000000005</v>
      </c>
    </row>
    <row r="432" spans="1:218">
      <c r="A432" s="81" t="s">
        <v>1073</v>
      </c>
      <c r="C432" s="81" t="s">
        <v>971</v>
      </c>
      <c r="E432" s="81" t="s">
        <v>129</v>
      </c>
      <c r="F432" s="81" t="s">
        <v>767</v>
      </c>
      <c r="GX432" s="81">
        <v>7.1434221955088582</v>
      </c>
      <c r="GY432" s="81">
        <v>0.34855370819894954</v>
      </c>
      <c r="GZ432" s="81">
        <v>2.6431693614126854</v>
      </c>
      <c r="HA432" s="81">
        <v>0.13242814670083727</v>
      </c>
      <c r="HB432" s="81">
        <v>13.418310407389868</v>
      </c>
      <c r="HC432" s="81">
        <v>61.458679999999994</v>
      </c>
      <c r="HE432" s="81">
        <v>64.873470666666677</v>
      </c>
      <c r="HF432" s="81">
        <v>103.69619933333331</v>
      </c>
      <c r="HG432" s="81">
        <v>187.309808</v>
      </c>
      <c r="HI432" s="81">
        <v>127.776</v>
      </c>
      <c r="HJ432" s="81">
        <v>39.111837999999999</v>
      </c>
    </row>
    <row r="433" spans="1:218">
      <c r="A433" s="81" t="s">
        <v>1074</v>
      </c>
      <c r="C433" s="81" t="s">
        <v>972</v>
      </c>
      <c r="E433" s="81" t="s">
        <v>129</v>
      </c>
      <c r="F433" s="81" t="s">
        <v>767</v>
      </c>
      <c r="GX433" s="81">
        <v>6.9571806771369076</v>
      </c>
      <c r="GY433" s="81">
        <v>0.3335598450313712</v>
      </c>
      <c r="GZ433" s="81">
        <v>2.3937070035390664</v>
      </c>
      <c r="HA433" s="81">
        <v>0.19227868288739228</v>
      </c>
      <c r="HB433" s="81">
        <v>13.118393758986537</v>
      </c>
      <c r="HC433" s="81">
        <v>53.755730000000007</v>
      </c>
      <c r="HE433" s="81">
        <v>40.752655999999995</v>
      </c>
      <c r="HF433" s="81">
        <v>105.77803466666666</v>
      </c>
      <c r="HG433" s="81">
        <v>160.18216266666667</v>
      </c>
      <c r="HI433" s="81">
        <v>132.1584</v>
      </c>
      <c r="HJ433" s="81">
        <v>34.421911999999999</v>
      </c>
    </row>
    <row r="434" spans="1:218">
      <c r="A434" s="81" t="s">
        <v>1075</v>
      </c>
      <c r="C434" s="81" t="s">
        <v>973</v>
      </c>
      <c r="E434" s="81" t="s">
        <v>129</v>
      </c>
      <c r="F434" s="81" t="s">
        <v>767</v>
      </c>
      <c r="GX434" s="81">
        <v>8.3393091660606515</v>
      </c>
      <c r="GZ434" s="81">
        <v>2.6462982415958698</v>
      </c>
      <c r="HA434" s="81">
        <v>0.18097128174522512</v>
      </c>
      <c r="HB434" s="81">
        <v>13.332132088135806</v>
      </c>
      <c r="HC434" s="81">
        <v>74.080555000000004</v>
      </c>
      <c r="HE434" s="81">
        <v>260.78399866666666</v>
      </c>
      <c r="HF434" s="81">
        <v>95.250319333333323</v>
      </c>
      <c r="HG434" s="81">
        <v>203.10337866666669</v>
      </c>
      <c r="HI434" s="81">
        <v>143.12436</v>
      </c>
      <c r="HJ434" s="81">
        <v>41.387695999999998</v>
      </c>
    </row>
    <row r="435" spans="1:218">
      <c r="A435" s="81" t="s">
        <v>1076</v>
      </c>
      <c r="C435" s="81" t="s">
        <v>974</v>
      </c>
      <c r="E435" s="81" t="s">
        <v>129</v>
      </c>
      <c r="F435" s="81" t="s">
        <v>767</v>
      </c>
      <c r="GX435" s="81">
        <v>6.3122897174719057</v>
      </c>
      <c r="GY435" s="81">
        <v>0.40762154933144085</v>
      </c>
      <c r="GZ435" s="81">
        <v>2.2893169584963018</v>
      </c>
      <c r="HA435" s="81">
        <v>0.14756287431971846</v>
      </c>
      <c r="HB435" s="81">
        <v>14.688138192089175</v>
      </c>
      <c r="HC435" s="81">
        <v>61.952014999999996</v>
      </c>
      <c r="HE435" s="81">
        <v>419.80315333333328</v>
      </c>
      <c r="HF435" s="81">
        <v>112.91998933333332</v>
      </c>
      <c r="HG435" s="81">
        <v>164.71044266666664</v>
      </c>
      <c r="HI435" s="81">
        <v>138.59256000000002</v>
      </c>
      <c r="HJ435" s="81">
        <v>49.830791333333337</v>
      </c>
    </row>
    <row r="436" spans="1:218">
      <c r="A436" s="81" t="s">
        <v>1077</v>
      </c>
      <c r="C436" s="81" t="s">
        <v>975</v>
      </c>
      <c r="E436" s="81" t="s">
        <v>129</v>
      </c>
      <c r="F436" s="81" t="s">
        <v>767</v>
      </c>
      <c r="GX436" s="81">
        <v>8.1800013510344982</v>
      </c>
      <c r="GZ436" s="81">
        <v>2.356599542504533</v>
      </c>
      <c r="HA436" s="81">
        <v>0.1538520139315617</v>
      </c>
      <c r="HB436" s="81">
        <v>12.081615063146883</v>
      </c>
      <c r="HC436" s="81">
        <v>46.098940000000006</v>
      </c>
      <c r="HE436" s="81">
        <v>240.26412266666662</v>
      </c>
      <c r="HF436" s="81">
        <v>81.133104999999986</v>
      </c>
      <c r="HG436" s="81">
        <v>210.35244800000001</v>
      </c>
      <c r="HI436" s="81">
        <v>131.75003999999998</v>
      </c>
      <c r="HJ436" s="81">
        <v>38.463786666666671</v>
      </c>
    </row>
    <row r="437" spans="1:218">
      <c r="A437" s="81" t="s">
        <v>1078</v>
      </c>
      <c r="C437" s="81" t="s">
        <v>976</v>
      </c>
      <c r="E437" s="81" t="s">
        <v>129</v>
      </c>
      <c r="F437" s="81" t="s">
        <v>767</v>
      </c>
      <c r="GX437" s="81">
        <v>8.4145234269252764</v>
      </c>
      <c r="GZ437" s="81">
        <v>2.8617075079284473</v>
      </c>
      <c r="HA437" s="81">
        <v>0.16365130065533309</v>
      </c>
      <c r="HB437" s="81">
        <v>14.702763355975934</v>
      </c>
      <c r="HC437" s="81">
        <v>72.819810000000004</v>
      </c>
      <c r="HE437" s="81">
        <v>233.23864266666666</v>
      </c>
      <c r="HF437" s="81">
        <v>103.13314066666665</v>
      </c>
      <c r="HG437" s="81">
        <v>179.10922666666667</v>
      </c>
      <c r="HI437" s="81">
        <v>140.63768000000002</v>
      </c>
      <c r="HJ437" s="81">
        <v>43.457774666666673</v>
      </c>
    </row>
    <row r="438" spans="1:218">
      <c r="A438" s="81" t="s">
        <v>1079</v>
      </c>
      <c r="C438" s="81" t="s">
        <v>977</v>
      </c>
      <c r="E438" s="81" t="s">
        <v>129</v>
      </c>
      <c r="F438" s="81" t="s">
        <v>767</v>
      </c>
      <c r="GX438" s="81">
        <v>8.9209456441506561</v>
      </c>
      <c r="GZ438" s="81">
        <v>2.5832860870396197</v>
      </c>
      <c r="HA438" s="81">
        <v>0.2148593473381871</v>
      </c>
      <c r="HB438" s="81">
        <v>13.607958071555499</v>
      </c>
      <c r="HC438" s="81">
        <v>68.812545</v>
      </c>
      <c r="HE438" s="81">
        <v>174.88153866666667</v>
      </c>
      <c r="HF438" s="81">
        <v>113.62381266666665</v>
      </c>
      <c r="HG438" s="81">
        <v>199.01837333333336</v>
      </c>
      <c r="HI438" s="81">
        <v>132.65971999999999</v>
      </c>
      <c r="HJ438" s="81">
        <v>38.411574000000002</v>
      </c>
    </row>
    <row r="439" spans="1:218">
      <c r="A439" t="s">
        <v>1169</v>
      </c>
      <c r="C439" t="s">
        <v>1080</v>
      </c>
      <c r="E439" s="81" t="s">
        <v>1168</v>
      </c>
      <c r="F439" s="81" t="s">
        <v>767</v>
      </c>
      <c r="GX439" s="81">
        <v>10.953671272671196</v>
      </c>
      <c r="GY439" s="81">
        <v>1.3746950178119588</v>
      </c>
      <c r="GZ439" s="81">
        <v>4.2254908809633767</v>
      </c>
      <c r="HA439" s="81">
        <v>0.12658063313856327</v>
      </c>
      <c r="HB439" s="81">
        <v>7.1630926221353954</v>
      </c>
      <c r="HC439" s="81">
        <v>30.903645000000001</v>
      </c>
      <c r="HD439" s="81">
        <v>151.49335799999997</v>
      </c>
      <c r="HE439" s="81">
        <v>1458.2329653333334</v>
      </c>
      <c r="HF439" s="81">
        <v>115.35744066666665</v>
      </c>
      <c r="HG439" s="81">
        <v>332.43258400000002</v>
      </c>
      <c r="HH439" s="81">
        <v>16.300262666666669</v>
      </c>
      <c r="HI439" s="81">
        <v>182.73528000000002</v>
      </c>
      <c r="HJ439" s="81">
        <v>58.006680666666675</v>
      </c>
    </row>
    <row r="440" spans="1:218">
      <c r="A440" t="s">
        <v>1170</v>
      </c>
      <c r="C440" t="s">
        <v>1081</v>
      </c>
      <c r="E440" s="81" t="s">
        <v>1168</v>
      </c>
      <c r="F440" s="81" t="s">
        <v>767</v>
      </c>
      <c r="GX440" s="81">
        <v>13.76251789931591</v>
      </c>
      <c r="GY440" s="81">
        <v>0.58636450848796018</v>
      </c>
      <c r="GZ440" s="81">
        <v>4.0617954459805814</v>
      </c>
      <c r="HA440" s="81">
        <v>0.28936457163999513</v>
      </c>
      <c r="HB440" s="81">
        <v>5.8080866128206425</v>
      </c>
      <c r="HC440" s="81">
        <v>95.518990000000016</v>
      </c>
      <c r="HD440" s="81">
        <v>288.09781999999996</v>
      </c>
      <c r="HE440" s="81">
        <v>263.7736293333333</v>
      </c>
      <c r="HF440" s="81">
        <v>75.747004333333322</v>
      </c>
      <c r="HG440" s="81">
        <v>323.17731466666669</v>
      </c>
      <c r="HH440" s="81">
        <v>11.847630000000001</v>
      </c>
      <c r="HI440" s="81">
        <v>192.19728000000001</v>
      </c>
      <c r="HJ440" s="81">
        <v>36.498133333333335</v>
      </c>
    </row>
    <row r="441" spans="1:218">
      <c r="A441" t="s">
        <v>1171</v>
      </c>
      <c r="C441" t="s">
        <v>1082</v>
      </c>
      <c r="E441" s="81" t="s">
        <v>1168</v>
      </c>
      <c r="F441" s="81" t="s">
        <v>767</v>
      </c>
      <c r="GX441" s="81">
        <v>4.1928919890177889</v>
      </c>
      <c r="GY441" s="81">
        <v>2.0475505143106165</v>
      </c>
      <c r="GZ441" s="81">
        <v>3.6782456985587566</v>
      </c>
      <c r="HA441" s="81">
        <v>5.6366018374335629E-2</v>
      </c>
      <c r="HB441" s="81">
        <v>11.509183599174571</v>
      </c>
      <c r="HC441" s="81">
        <v>64.245590000000007</v>
      </c>
      <c r="HD441" s="81">
        <v>258.22509799999995</v>
      </c>
      <c r="HE441" s="81">
        <v>119.96722399999999</v>
      </c>
      <c r="HF441" s="81">
        <v>96.617218333333327</v>
      </c>
      <c r="HG441" s="81">
        <v>190.50062133333336</v>
      </c>
      <c r="HH441" s="81">
        <v>45.977335000000004</v>
      </c>
      <c r="HI441" s="81">
        <v>196.11820000000003</v>
      </c>
      <c r="HJ441" s="81">
        <v>51.977653333333336</v>
      </c>
    </row>
    <row r="442" spans="1:218">
      <c r="A442" t="s">
        <v>1172</v>
      </c>
      <c r="C442" t="s">
        <v>1083</v>
      </c>
      <c r="E442" s="81" t="s">
        <v>1168</v>
      </c>
      <c r="F442" s="81" t="s">
        <v>767</v>
      </c>
      <c r="GX442" s="81">
        <v>0.3466417397850492</v>
      </c>
      <c r="GY442" s="81">
        <v>1.999857016194664</v>
      </c>
      <c r="GZ442" s="81">
        <v>1.9629783387286543</v>
      </c>
      <c r="HA442" s="81">
        <v>5.3653436175488407E-2</v>
      </c>
      <c r="HB442" s="81">
        <v>19.453092897000325</v>
      </c>
      <c r="HC442" s="81">
        <v>73.266984999999991</v>
      </c>
      <c r="HD442" s="81">
        <v>195.26660999999999</v>
      </c>
      <c r="HF442" s="81">
        <v>74.261566666666653</v>
      </c>
      <c r="HG442" s="81">
        <v>1.9980693333333335</v>
      </c>
      <c r="HH442" s="81">
        <v>45.20256466666666</v>
      </c>
      <c r="HI442" s="81">
        <v>144.45236</v>
      </c>
      <c r="HJ442" s="81">
        <v>28.454311333333333</v>
      </c>
    </row>
    <row r="443" spans="1:218">
      <c r="A443" t="s">
        <v>1173</v>
      </c>
      <c r="C443" t="s">
        <v>1084</v>
      </c>
      <c r="E443" s="81" t="s">
        <v>1168</v>
      </c>
      <c r="F443" s="81" t="s">
        <v>767</v>
      </c>
      <c r="GX443" s="81">
        <v>16.338529770312906</v>
      </c>
      <c r="GY443" s="81">
        <v>0.77715620860734491</v>
      </c>
      <c r="GZ443" s="81">
        <v>4.5110903545538568</v>
      </c>
      <c r="HA443" s="81">
        <v>0.49778099201948178</v>
      </c>
      <c r="HB443" s="81">
        <v>8.7657234033273959</v>
      </c>
      <c r="HC443" s="81">
        <v>87.873739999999998</v>
      </c>
      <c r="HE443" s="81">
        <v>307.97028533333332</v>
      </c>
      <c r="HF443" s="81">
        <v>83.070471333333316</v>
      </c>
      <c r="HG443" s="81">
        <v>285.95370666666668</v>
      </c>
      <c r="HH443" s="81">
        <v>18.339776666666666</v>
      </c>
      <c r="HI443" s="81">
        <v>213.08339999999998</v>
      </c>
      <c r="HJ443" s="81">
        <v>52.20800333333333</v>
      </c>
    </row>
    <row r="444" spans="1:218">
      <c r="A444" t="s">
        <v>1174</v>
      </c>
      <c r="C444" t="s">
        <v>1085</v>
      </c>
      <c r="E444" s="81" t="s">
        <v>1168</v>
      </c>
      <c r="F444" s="81" t="s">
        <v>767</v>
      </c>
      <c r="GX444" s="81">
        <v>19.261555905809249</v>
      </c>
      <c r="GY444" s="81">
        <v>0.52757772929287661</v>
      </c>
      <c r="GZ444" s="81">
        <v>3.0422486154044961</v>
      </c>
      <c r="HA444" s="81">
        <v>0.5979879329343647</v>
      </c>
      <c r="HB444" s="81">
        <v>7.0008296619268968</v>
      </c>
      <c r="HC444" s="81">
        <v>117.99602499999999</v>
      </c>
      <c r="HD444" s="81">
        <v>207.871904</v>
      </c>
      <c r="HE444" s="81">
        <v>204.91470533333333</v>
      </c>
      <c r="HF444" s="81">
        <v>118.29868133333332</v>
      </c>
      <c r="HG444" s="81">
        <v>299.16405600000007</v>
      </c>
      <c r="HH444" s="81">
        <v>11.869066333333334</v>
      </c>
      <c r="HI444" s="81">
        <v>170.72352000000001</v>
      </c>
      <c r="HJ444" s="81">
        <v>41.823825333333332</v>
      </c>
    </row>
    <row r="445" spans="1:218">
      <c r="A445" t="s">
        <v>1175</v>
      </c>
      <c r="C445" t="s">
        <v>1086</v>
      </c>
      <c r="E445" s="81" t="s">
        <v>129</v>
      </c>
      <c r="F445" s="81" t="s">
        <v>767</v>
      </c>
      <c r="GX445" s="81">
        <v>9.5098633847435661</v>
      </c>
      <c r="GY445" s="81">
        <v>0.32647452225001888</v>
      </c>
      <c r="GZ445" s="81">
        <v>2.6024603607817287</v>
      </c>
      <c r="HA445" s="81">
        <v>0.12451976308235045</v>
      </c>
      <c r="HB445" s="81">
        <v>13.490618829330748</v>
      </c>
      <c r="HC445" s="81">
        <v>69.816524999999999</v>
      </c>
      <c r="HE445" s="81">
        <v>222.10127999999997</v>
      </c>
      <c r="HF445" s="81">
        <v>96.006003333333311</v>
      </c>
      <c r="HG445" s="81">
        <v>270.79447733333336</v>
      </c>
      <c r="HI445" s="81">
        <v>161.63336000000001</v>
      </c>
      <c r="HJ445" s="81">
        <v>34.904111333333333</v>
      </c>
    </row>
    <row r="446" spans="1:218">
      <c r="A446" t="s">
        <v>1176</v>
      </c>
      <c r="C446" t="s">
        <v>1087</v>
      </c>
      <c r="E446" s="81" t="s">
        <v>129</v>
      </c>
      <c r="F446" s="81" t="s">
        <v>767</v>
      </c>
      <c r="GX446" s="81">
        <v>9.272292533131699</v>
      </c>
      <c r="GY446" s="81">
        <v>0.480552977743812</v>
      </c>
      <c r="GZ446" s="81">
        <v>2.4169185053379363</v>
      </c>
      <c r="HA446" s="81">
        <v>0.17148467581627228</v>
      </c>
      <c r="HB446" s="81">
        <v>13.132237041964693</v>
      </c>
      <c r="HC446" s="81">
        <v>85.733069999999998</v>
      </c>
      <c r="HE446" s="81">
        <v>198.62522799999999</v>
      </c>
      <c r="HF446" s="81">
        <v>122.01042333333332</v>
      </c>
      <c r="HG446" s="81">
        <v>272.03641066666665</v>
      </c>
      <c r="HH446" s="81">
        <v>9.8203653333333332</v>
      </c>
      <c r="HI446" s="81">
        <v>177.14772000000002</v>
      </c>
      <c r="HJ446" s="81">
        <v>39.756818000000003</v>
      </c>
    </row>
    <row r="447" spans="1:218">
      <c r="A447" t="s">
        <v>1177</v>
      </c>
      <c r="C447" t="s">
        <v>1088</v>
      </c>
      <c r="E447" s="81" t="s">
        <v>129</v>
      </c>
      <c r="F447" s="81" t="s">
        <v>767</v>
      </c>
      <c r="GX447" s="81">
        <v>9.3709611295115227</v>
      </c>
      <c r="GZ447" s="81">
        <v>2.2060413090470994</v>
      </c>
      <c r="HA447" s="81">
        <v>0.14824666998378838</v>
      </c>
      <c r="HB447" s="81">
        <v>14.030622231929556</v>
      </c>
      <c r="HC447" s="81">
        <v>64.470619999999997</v>
      </c>
      <c r="HE447" s="81">
        <v>159.03010933333334</v>
      </c>
      <c r="HF447" s="81">
        <v>85.100445999999991</v>
      </c>
      <c r="HG447" s="81">
        <v>249.63193333333334</v>
      </c>
      <c r="HI447" s="81">
        <v>138.06467999999998</v>
      </c>
      <c r="HJ447" s="81">
        <v>35.294170666666666</v>
      </c>
    </row>
    <row r="448" spans="1:218">
      <c r="A448" t="s">
        <v>1178</v>
      </c>
      <c r="C448" t="s">
        <v>1089</v>
      </c>
      <c r="E448" s="81" t="s">
        <v>129</v>
      </c>
      <c r="F448" s="81" t="s">
        <v>767</v>
      </c>
      <c r="GX448" s="81">
        <v>9.7210976040452017</v>
      </c>
      <c r="GZ448" s="81">
        <v>3.0895691599818869</v>
      </c>
      <c r="HA448" s="81">
        <v>0.16524218111478581</v>
      </c>
      <c r="HB448" s="81">
        <v>14.229833725848957</v>
      </c>
      <c r="HC448" s="81">
        <v>79.766890000000004</v>
      </c>
      <c r="HE448" s="81">
        <v>201.55099066666665</v>
      </c>
      <c r="HF448" s="81">
        <v>101.84773699999998</v>
      </c>
      <c r="HG448" s="81">
        <v>265.98341866666669</v>
      </c>
      <c r="HI448" s="81">
        <v>148.93768000000003</v>
      </c>
      <c r="HJ448" s="81">
        <v>36.544203333333336</v>
      </c>
    </row>
    <row r="449" spans="1:218">
      <c r="A449" t="s">
        <v>1179</v>
      </c>
      <c r="C449" t="s">
        <v>1090</v>
      </c>
      <c r="E449" s="81" t="s">
        <v>129</v>
      </c>
      <c r="F449" s="81" t="s">
        <v>767</v>
      </c>
      <c r="GX449" s="81">
        <v>8.8399342449435121</v>
      </c>
      <c r="GZ449" s="81">
        <v>2.5901877107703535</v>
      </c>
      <c r="HA449" s="81">
        <v>0.1598680121395947</v>
      </c>
      <c r="HB449" s="81">
        <v>15.851483991616414</v>
      </c>
      <c r="HC449" s="81">
        <v>50.487024999999996</v>
      </c>
      <c r="HE449" s="81">
        <v>140.432356</v>
      </c>
      <c r="HF449" s="81">
        <v>120.91023633333333</v>
      </c>
      <c r="HG449" s="81">
        <v>248.5696026666667</v>
      </c>
      <c r="HI449" s="81">
        <v>146.78964000000002</v>
      </c>
      <c r="HJ449" s="81">
        <v>38.377789333333332</v>
      </c>
    </row>
    <row r="450" spans="1:218">
      <c r="A450" t="s">
        <v>1180</v>
      </c>
      <c r="C450" t="s">
        <v>1091</v>
      </c>
      <c r="E450" s="81" t="s">
        <v>129</v>
      </c>
      <c r="F450" s="81" t="s">
        <v>767</v>
      </c>
      <c r="GX450" s="81">
        <v>9.0136527094639796</v>
      </c>
      <c r="GY450" s="81">
        <v>0.8888398993467157</v>
      </c>
      <c r="GZ450" s="81">
        <v>2.9632843478474098</v>
      </c>
      <c r="HA450" s="81">
        <v>0.15243671589149374</v>
      </c>
      <c r="HB450" s="81">
        <v>15.781941814026373</v>
      </c>
      <c r="HC450" s="81">
        <v>63.85611500000001</v>
      </c>
      <c r="HE450" s="81">
        <v>53.748273333333337</v>
      </c>
      <c r="HF450" s="81">
        <v>95.042876666666658</v>
      </c>
      <c r="HG450" s="81">
        <v>238.10679200000004</v>
      </c>
      <c r="HH450" s="81">
        <v>19.870943333333333</v>
      </c>
      <c r="HI450" s="81">
        <v>161.42751999999999</v>
      </c>
      <c r="HJ450" s="81">
        <v>38.660351999999996</v>
      </c>
    </row>
    <row r="451" spans="1:218">
      <c r="A451" t="s">
        <v>1181</v>
      </c>
      <c r="C451" t="s">
        <v>1092</v>
      </c>
      <c r="E451" s="81" t="s">
        <v>129</v>
      </c>
      <c r="F451" s="81" t="s">
        <v>767</v>
      </c>
      <c r="GX451" s="81">
        <v>8.7797122667133696</v>
      </c>
      <c r="GY451" s="81">
        <v>0.85653435392451882</v>
      </c>
      <c r="GZ451" s="81">
        <v>2.6341865574255858</v>
      </c>
      <c r="HA451" s="81">
        <v>0.19981333478874527</v>
      </c>
      <c r="HB451" s="81">
        <v>18.478195650136112</v>
      </c>
      <c r="HC451" s="81">
        <v>80.003460000000004</v>
      </c>
      <c r="HE451" s="81">
        <v>65.411786666666671</v>
      </c>
      <c r="HF451" s="81">
        <v>127.70027933333334</v>
      </c>
      <c r="HG451" s="81">
        <v>199.75589066666669</v>
      </c>
      <c r="HH451" s="81">
        <v>19.665767000000002</v>
      </c>
      <c r="HI451" s="81">
        <v>163.46932000000001</v>
      </c>
      <c r="HJ451" s="81">
        <v>38.866131333333335</v>
      </c>
    </row>
    <row r="452" spans="1:218">
      <c r="A452" t="s">
        <v>1182</v>
      </c>
      <c r="C452" t="s">
        <v>1093</v>
      </c>
      <c r="E452" s="81" t="s">
        <v>129</v>
      </c>
      <c r="F452" s="81" t="s">
        <v>767</v>
      </c>
      <c r="GX452" s="81">
        <v>8.3196592286602566</v>
      </c>
      <c r="GY452" s="81">
        <v>0.93486850108008868</v>
      </c>
      <c r="GZ452" s="81">
        <v>2.6159945734628551</v>
      </c>
      <c r="HA452" s="81">
        <v>0.19132095947424463</v>
      </c>
      <c r="HB452" s="81">
        <v>18.262123518466144</v>
      </c>
      <c r="HC452" s="81">
        <v>81.278630000000007</v>
      </c>
      <c r="HE452" s="81">
        <v>46.713669333333335</v>
      </c>
      <c r="HF452" s="81">
        <v>120.00267466666666</v>
      </c>
      <c r="HG452" s="81">
        <v>210.63522666666668</v>
      </c>
      <c r="HH452" s="81">
        <v>21.212245333333335</v>
      </c>
      <c r="HI452" s="81">
        <v>167.66580000000002</v>
      </c>
      <c r="HJ452" s="81">
        <v>40.073165333333328</v>
      </c>
    </row>
    <row r="453" spans="1:218">
      <c r="A453" t="s">
        <v>1183</v>
      </c>
      <c r="C453" t="s">
        <v>1094</v>
      </c>
      <c r="E453" s="81" t="s">
        <v>129</v>
      </c>
      <c r="F453" s="81" t="s">
        <v>767</v>
      </c>
      <c r="GX453" s="81">
        <v>9.300165027413918</v>
      </c>
      <c r="GY453" s="81">
        <v>0.54959550358524212</v>
      </c>
      <c r="GZ453" s="81">
        <v>2.3395070178026827</v>
      </c>
      <c r="HA453" s="81">
        <v>0.13778839773938842</v>
      </c>
      <c r="HB453" s="81">
        <v>13.889529772346258</v>
      </c>
      <c r="HC453" s="81">
        <v>78.139750000000006</v>
      </c>
      <c r="HD453" s="81">
        <v>222.198216</v>
      </c>
      <c r="HE453" s="81">
        <v>247.23485866666667</v>
      </c>
      <c r="HF453" s="81">
        <v>88.764031666666654</v>
      </c>
      <c r="HG453" s="81">
        <v>220.40637599999999</v>
      </c>
      <c r="HH453" s="81">
        <v>8.4576270000000005</v>
      </c>
      <c r="HI453" s="81">
        <v>141.67684</v>
      </c>
      <c r="HJ453" s="81">
        <v>33.675578000000002</v>
      </c>
    </row>
    <row r="454" spans="1:218">
      <c r="A454" t="s">
        <v>1184</v>
      </c>
      <c r="C454" t="s">
        <v>1095</v>
      </c>
      <c r="E454" s="81" t="s">
        <v>129</v>
      </c>
      <c r="F454" s="81" t="s">
        <v>767</v>
      </c>
      <c r="GX454" s="81">
        <v>8.6212597945404017</v>
      </c>
      <c r="GY454" s="81">
        <v>0.37989173746127652</v>
      </c>
      <c r="GZ454" s="81">
        <v>2.7802570859847595</v>
      </c>
      <c r="HA454" s="81">
        <v>0.16643425759679042</v>
      </c>
      <c r="HB454" s="81">
        <v>14.367519308817405</v>
      </c>
      <c r="HC454" s="81">
        <v>77.135769999999994</v>
      </c>
      <c r="HE454" s="81">
        <v>203.04732666666666</v>
      </c>
      <c r="HF454" s="81">
        <v>102.08851866666664</v>
      </c>
      <c r="HG454" s="81">
        <v>242.76499733333335</v>
      </c>
      <c r="HI454" s="81">
        <v>160.93948</v>
      </c>
      <c r="HJ454" s="81">
        <v>36.891264</v>
      </c>
    </row>
    <row r="455" spans="1:218">
      <c r="A455" t="s">
        <v>1185</v>
      </c>
      <c r="C455" t="s">
        <v>1096</v>
      </c>
      <c r="E455" s="81" t="s">
        <v>129</v>
      </c>
      <c r="F455" s="81" t="s">
        <v>767</v>
      </c>
      <c r="GX455" s="81">
        <v>7.8164652005349282</v>
      </c>
      <c r="GZ455" s="81">
        <v>3.1640013574972321</v>
      </c>
      <c r="HA455" s="81">
        <v>0.11646388987056182</v>
      </c>
      <c r="HB455" s="81">
        <v>13.429322947399895</v>
      </c>
      <c r="HC455" s="81">
        <v>70.257930000000002</v>
      </c>
      <c r="HE455" s="81">
        <v>194.89655333333334</v>
      </c>
      <c r="HF455" s="81">
        <v>85.237506333333329</v>
      </c>
      <c r="HG455" s="81">
        <v>271.0466853333333</v>
      </c>
      <c r="HI455" s="81">
        <v>165.34844000000001</v>
      </c>
      <c r="HJ455" s="81">
        <v>33.082810666666667</v>
      </c>
    </row>
    <row r="456" spans="1:218">
      <c r="A456" t="s">
        <v>1186</v>
      </c>
      <c r="C456" t="s">
        <v>1097</v>
      </c>
      <c r="E456" s="81" t="s">
        <v>129</v>
      </c>
      <c r="F456" s="81" t="s">
        <v>767</v>
      </c>
      <c r="GX456" s="81">
        <v>8.5859424795121324</v>
      </c>
      <c r="GY456" s="81">
        <v>0.58703325505484838</v>
      </c>
      <c r="GZ456" s="81">
        <v>2.6890167557129541</v>
      </c>
      <c r="HA456" s="81">
        <v>0.20330815869791893</v>
      </c>
      <c r="HB456" s="81">
        <v>16.84052704437045</v>
      </c>
      <c r="HC456" s="81">
        <v>73.370845000000017</v>
      </c>
      <c r="HE456" s="81">
        <v>320.04133733333339</v>
      </c>
      <c r="HF456" s="81">
        <v>102.96644566666667</v>
      </c>
      <c r="HG456" s="81">
        <v>227.95350933333339</v>
      </c>
      <c r="HH456" s="81">
        <v>10.625759</v>
      </c>
      <c r="HI456" s="81">
        <v>170.24544000000003</v>
      </c>
      <c r="HJ456" s="81">
        <v>38.076798666666669</v>
      </c>
    </row>
    <row r="457" spans="1:218">
      <c r="A457" t="s">
        <v>1187</v>
      </c>
      <c r="C457" t="s">
        <v>1098</v>
      </c>
      <c r="E457" s="81" t="s">
        <v>129</v>
      </c>
      <c r="F457" s="81" t="s">
        <v>767</v>
      </c>
      <c r="GX457" s="81">
        <v>17.906769598598746</v>
      </c>
      <c r="GY457" s="81">
        <v>0.80091799859442914</v>
      </c>
      <c r="GZ457" s="81">
        <v>2.8632739387636579</v>
      </c>
      <c r="HA457" s="81">
        <v>0.74308394539374467</v>
      </c>
      <c r="HB457" s="81">
        <v>11.76543837469349</v>
      </c>
      <c r="HC457" s="81">
        <v>53.415300000000002</v>
      </c>
      <c r="HE457" s="81">
        <v>204.77176266666666</v>
      </c>
      <c r="HF457" s="81">
        <v>103.98143299999998</v>
      </c>
      <c r="HG457" s="81">
        <v>250.327416</v>
      </c>
      <c r="HI457" s="81">
        <v>150.42836</v>
      </c>
      <c r="HJ457" s="81">
        <v>40.945424000000003</v>
      </c>
    </row>
    <row r="458" spans="1:218">
      <c r="A458" t="s">
        <v>1188</v>
      </c>
      <c r="C458" t="s">
        <v>1099</v>
      </c>
      <c r="E458" s="81" t="s">
        <v>129</v>
      </c>
      <c r="F458" s="81" t="s">
        <v>767</v>
      </c>
      <c r="GX458" s="81">
        <v>9.0382552906045301</v>
      </c>
      <c r="GY458" s="81">
        <v>0.41130172762178696</v>
      </c>
      <c r="GZ458" s="81">
        <v>1.317663437875624</v>
      </c>
      <c r="HA458" s="81">
        <v>0.17733698535842132</v>
      </c>
      <c r="HB458" s="81">
        <v>15.315036739783807</v>
      </c>
      <c r="HC458" s="81">
        <v>131.68823499999999</v>
      </c>
      <c r="HD458" s="81">
        <v>219.23563199999998</v>
      </c>
      <c r="HE458" s="81">
        <v>92.199850666666677</v>
      </c>
      <c r="HF458" s="81">
        <v>68.527258666666654</v>
      </c>
      <c r="HG458" s="81">
        <v>125.79780533333333</v>
      </c>
      <c r="HH458" s="81">
        <v>10.291964666666667</v>
      </c>
      <c r="HI458" s="81">
        <v>74.898360000000011</v>
      </c>
      <c r="HJ458" s="81">
        <v>23.371254666666669</v>
      </c>
    </row>
    <row r="459" spans="1:218">
      <c r="A459" t="s">
        <v>1189</v>
      </c>
      <c r="C459" t="s">
        <v>1100</v>
      </c>
      <c r="E459" s="81" t="s">
        <v>129</v>
      </c>
      <c r="F459" s="81" t="s">
        <v>767</v>
      </c>
      <c r="GX459" s="81">
        <v>8.2504436332591737</v>
      </c>
      <c r="GZ459" s="81">
        <v>1.2609482897742075</v>
      </c>
      <c r="HA459" s="81">
        <v>0.11818042386289891</v>
      </c>
      <c r="HB459" s="81">
        <v>12.121925114472601</v>
      </c>
      <c r="HC459" s="81">
        <v>100.19557500000001</v>
      </c>
      <c r="HD459" s="81">
        <v>228.61714800000001</v>
      </c>
      <c r="HE459" s="81">
        <v>195.49873733333334</v>
      </c>
      <c r="HF459" s="81">
        <v>59.69983233333334</v>
      </c>
      <c r="HG459" s="81">
        <v>145.78720000000001</v>
      </c>
      <c r="HI459" s="81">
        <v>76.704440000000005</v>
      </c>
      <c r="HJ459" s="81">
        <v>19.424591333333336</v>
      </c>
    </row>
    <row r="460" spans="1:218">
      <c r="A460" t="s">
        <v>1190</v>
      </c>
      <c r="C460" t="s">
        <v>1101</v>
      </c>
      <c r="E460" s="81" t="s">
        <v>129</v>
      </c>
      <c r="F460" s="81" t="s">
        <v>767</v>
      </c>
      <c r="GX460" s="81">
        <v>10.464350488384133</v>
      </c>
      <c r="GY460" s="81">
        <v>0.48253246758180124</v>
      </c>
      <c r="GZ460" s="81">
        <v>1.3683557333575636</v>
      </c>
      <c r="HA460" s="81">
        <v>0.14300490196794077</v>
      </c>
      <c r="HB460" s="81">
        <v>13.965139821832715</v>
      </c>
      <c r="HC460" s="81">
        <v>104.71348500000001</v>
      </c>
      <c r="HE460" s="81">
        <v>17.954821333333332</v>
      </c>
      <c r="HF460" s="81">
        <v>67.760461666666657</v>
      </c>
      <c r="HG460" s="81">
        <v>161.79858666666667</v>
      </c>
      <c r="HH460" s="81">
        <v>13.706466333333333</v>
      </c>
      <c r="HI460" s="81">
        <v>76.970039999999997</v>
      </c>
      <c r="HJ460" s="81">
        <v>22.695561333333334</v>
      </c>
    </row>
    <row r="461" spans="1:218">
      <c r="A461" t="s">
        <v>1191</v>
      </c>
      <c r="C461" t="s">
        <v>1102</v>
      </c>
      <c r="E461" s="81" t="s">
        <v>129</v>
      </c>
      <c r="F461" s="81" t="s">
        <v>767</v>
      </c>
      <c r="GX461" s="81">
        <v>8.9964836835782425</v>
      </c>
      <c r="GZ461" s="81">
        <v>2.1543229274261915</v>
      </c>
      <c r="HA461" s="81">
        <v>0.16056884831308094</v>
      </c>
      <c r="HB461" s="81">
        <v>17.492147868877964</v>
      </c>
      <c r="HC461" s="81">
        <v>63.025235000000009</v>
      </c>
      <c r="HE461" s="81">
        <v>88.30998533333333</v>
      </c>
      <c r="HF461" s="81">
        <v>90.19019999999999</v>
      </c>
      <c r="HG461" s="81">
        <v>161.14513866666667</v>
      </c>
      <c r="HI461" s="81">
        <v>126.92608</v>
      </c>
      <c r="HJ461" s="81">
        <v>36.872836</v>
      </c>
    </row>
    <row r="462" spans="1:218">
      <c r="A462" t="s">
        <v>1192</v>
      </c>
      <c r="C462" t="s">
        <v>1103</v>
      </c>
      <c r="E462" s="81" t="s">
        <v>129</v>
      </c>
      <c r="F462" s="81" t="s">
        <v>767</v>
      </c>
      <c r="GX462" s="81">
        <v>9.9524152735396534</v>
      </c>
      <c r="GZ462" s="81">
        <v>2.2897151072198487</v>
      </c>
      <c r="HA462" s="81">
        <v>0.1987129564976641</v>
      </c>
      <c r="HB462" s="81">
        <v>17.82729819348333</v>
      </c>
      <c r="HC462" s="81">
        <v>58.213054999999997</v>
      </c>
      <c r="HE462" s="81">
        <v>187.40879066666665</v>
      </c>
      <c r="HF462" s="81">
        <v>104.39631833333333</v>
      </c>
      <c r="HG462" s="81">
        <v>162.68513600000003</v>
      </c>
      <c r="HI462" s="81">
        <v>124.95400000000001</v>
      </c>
      <c r="HJ462" s="81">
        <v>37.671382666666666</v>
      </c>
    </row>
    <row r="463" spans="1:218">
      <c r="A463" t="s">
        <v>1193</v>
      </c>
      <c r="C463" t="s">
        <v>1104</v>
      </c>
      <c r="E463" s="81" t="s">
        <v>129</v>
      </c>
      <c r="F463" s="81" t="s">
        <v>767</v>
      </c>
      <c r="GX463" s="81">
        <v>7.8188221916459755</v>
      </c>
      <c r="GY463" s="81">
        <v>0.41323449938975126</v>
      </c>
      <c r="GZ463" s="81">
        <v>2.1546556660022982</v>
      </c>
      <c r="HA463" s="81">
        <v>0.23685659683433435</v>
      </c>
      <c r="HB463" s="81">
        <v>19.863055510873462</v>
      </c>
      <c r="HC463" s="81">
        <v>60.004640000000002</v>
      </c>
      <c r="HE463" s="81">
        <v>85.654901333333328</v>
      </c>
      <c r="HF463" s="81">
        <v>121.395504</v>
      </c>
      <c r="HG463" s="81">
        <v>96.354432000000017</v>
      </c>
      <c r="HI463" s="81">
        <v>124.33648000000001</v>
      </c>
      <c r="HJ463" s="81">
        <v>40.487795333333338</v>
      </c>
    </row>
    <row r="464" spans="1:218">
      <c r="A464" t="s">
        <v>1194</v>
      </c>
      <c r="C464" t="s">
        <v>1105</v>
      </c>
      <c r="E464" s="81" t="s">
        <v>129</v>
      </c>
      <c r="F464" s="81" t="s">
        <v>767</v>
      </c>
      <c r="GX464" s="81">
        <v>5.4027239687594344</v>
      </c>
      <c r="GY464" s="81">
        <v>0.35766787619872048</v>
      </c>
      <c r="GZ464" s="81">
        <v>2.0095759589808635</v>
      </c>
      <c r="HA464" s="81">
        <v>0.21626988512411113</v>
      </c>
      <c r="HB464" s="81">
        <v>15.993766239599468</v>
      </c>
      <c r="HC464" s="81">
        <v>63.31662</v>
      </c>
      <c r="HE464" s="81">
        <v>137.99624799999995</v>
      </c>
      <c r="HF464" s="81">
        <v>85.626461333333324</v>
      </c>
      <c r="HG464" s="81">
        <v>169.55971466666665</v>
      </c>
      <c r="HI464" s="81">
        <v>121.97264</v>
      </c>
      <c r="HJ464" s="81">
        <v>32.812533333333334</v>
      </c>
    </row>
    <row r="465" spans="1:218">
      <c r="A465" t="s">
        <v>1195</v>
      </c>
      <c r="C465" t="s">
        <v>1106</v>
      </c>
      <c r="E465" s="81" t="s">
        <v>129</v>
      </c>
      <c r="F465" s="81" t="s">
        <v>767</v>
      </c>
      <c r="GX465" s="81">
        <v>3.1869512144932828</v>
      </c>
      <c r="GY465" s="81">
        <v>0.4571589041788589</v>
      </c>
      <c r="GZ465" s="81">
        <v>2.337396829567886</v>
      </c>
      <c r="HA465" s="81">
        <v>0.23298655889903527</v>
      </c>
      <c r="HB465" s="81">
        <v>15.181705067800239</v>
      </c>
      <c r="HC465" s="81">
        <v>48.695439999999998</v>
      </c>
      <c r="HE465" s="81">
        <v>285.45225333333332</v>
      </c>
      <c r="HF465" s="81">
        <v>122.83648966666665</v>
      </c>
      <c r="HG465" s="81">
        <v>100.08405333333333</v>
      </c>
      <c r="HI465" s="81">
        <v>156.66996000000003</v>
      </c>
      <c r="HJ465" s="81">
        <v>44.025971333333331</v>
      </c>
    </row>
    <row r="466" spans="1:218">
      <c r="A466" t="s">
        <v>1196</v>
      </c>
      <c r="C466" t="s">
        <v>1107</v>
      </c>
      <c r="E466" s="81" t="s">
        <v>129</v>
      </c>
      <c r="F466" s="81" t="s">
        <v>767</v>
      </c>
      <c r="GX466" s="81">
        <v>2.5358608967245519</v>
      </c>
      <c r="GY466" s="81">
        <v>0.46523020429291351</v>
      </c>
      <c r="GZ466" s="81">
        <v>1.8892013802554892</v>
      </c>
      <c r="HA466" s="81">
        <v>0.17863526331664847</v>
      </c>
      <c r="HB466" s="81">
        <v>15.193554988299994</v>
      </c>
      <c r="HC466" s="81">
        <v>49.007020000000004</v>
      </c>
      <c r="HE466" s="81">
        <v>243.9563013333333</v>
      </c>
      <c r="HF466" s="81">
        <v>95.98007299999999</v>
      </c>
      <c r="HG466" s="81">
        <v>95.91497866666667</v>
      </c>
      <c r="HI466" s="81">
        <v>152.67268000000001</v>
      </c>
      <c r="HJ466" s="81">
        <v>44.612595999999996</v>
      </c>
    </row>
    <row r="467" spans="1:218">
      <c r="A467" t="s">
        <v>1197</v>
      </c>
      <c r="C467" t="s">
        <v>1108</v>
      </c>
      <c r="E467" s="81" t="s">
        <v>129</v>
      </c>
      <c r="F467" s="81" t="s">
        <v>767</v>
      </c>
      <c r="GX467" s="81">
        <v>6.7121708461448177</v>
      </c>
      <c r="GZ467" s="81">
        <v>2.425181797703198</v>
      </c>
      <c r="HA467" s="81">
        <v>0.16808529288132509</v>
      </c>
      <c r="HB467" s="81">
        <v>17.699158325425969</v>
      </c>
      <c r="HC467" s="81">
        <v>74.637360000000001</v>
      </c>
      <c r="HE467" s="81">
        <v>161.68519333333333</v>
      </c>
      <c r="HF467" s="81">
        <v>92.835093999999984</v>
      </c>
      <c r="HG467" s="81">
        <v>199.43107733333332</v>
      </c>
      <c r="HI467" s="81">
        <v>142.89196000000001</v>
      </c>
      <c r="HJ467" s="81">
        <v>35.245029333333335</v>
      </c>
    </row>
    <row r="468" spans="1:218">
      <c r="A468" t="s">
        <v>1198</v>
      </c>
      <c r="C468" t="s">
        <v>1109</v>
      </c>
      <c r="E468" s="81" t="s">
        <v>129</v>
      </c>
      <c r="F468" s="81" t="s">
        <v>767</v>
      </c>
      <c r="GX468" s="81">
        <v>8.0613611248934003</v>
      </c>
      <c r="GZ468" s="81">
        <v>2.377121834067792</v>
      </c>
      <c r="HA468" s="81">
        <v>0.144343882694588</v>
      </c>
      <c r="HB468" s="81">
        <v>16.281905484422762</v>
      </c>
      <c r="HC468" s="81">
        <v>65.347660000000005</v>
      </c>
      <c r="HE468" s="81">
        <v>275.44018400000004</v>
      </c>
      <c r="HF468" s="81">
        <v>89.697523666666655</v>
      </c>
      <c r="HG468" s="81">
        <v>215.81695466666667</v>
      </c>
      <c r="HI468" s="81">
        <v>148.20064000000002</v>
      </c>
      <c r="HJ468" s="81">
        <v>38.592782666666665</v>
      </c>
    </row>
    <row r="469" spans="1:218">
      <c r="A469" t="s">
        <v>1199</v>
      </c>
      <c r="C469" t="s">
        <v>1110</v>
      </c>
      <c r="E469" s="81" t="s">
        <v>129</v>
      </c>
      <c r="F469" s="81" t="s">
        <v>767</v>
      </c>
      <c r="GX469" s="81">
        <v>9.2751948574667029</v>
      </c>
      <c r="GZ469" s="81">
        <v>2.0714858103567804</v>
      </c>
      <c r="HA469" s="81">
        <v>0.1931815906237471</v>
      </c>
      <c r="HB469" s="81">
        <v>17.481943879430606</v>
      </c>
      <c r="HC469" s="81">
        <v>62.837710000000008</v>
      </c>
      <c r="HE469" s="81">
        <v>137.09905466666666</v>
      </c>
      <c r="HF469" s="81">
        <v>81.422042999999988</v>
      </c>
      <c r="HG469" s="81">
        <v>195.68234933333335</v>
      </c>
      <c r="HI469" s="81">
        <v>132.68295999999998</v>
      </c>
      <c r="HJ469" s="81">
        <v>35.963721333333332</v>
      </c>
    </row>
    <row r="470" spans="1:218">
      <c r="A470" t="s">
        <v>1200</v>
      </c>
      <c r="C470" t="s">
        <v>1111</v>
      </c>
      <c r="E470" s="81" t="s">
        <v>129</v>
      </c>
      <c r="F470" s="81" t="s">
        <v>767</v>
      </c>
      <c r="GX470" s="81">
        <v>7.7689431860927298</v>
      </c>
      <c r="GZ470" s="81">
        <v>2.2538766030456472</v>
      </c>
      <c r="HA470" s="81">
        <v>0.16769885050529063</v>
      </c>
      <c r="HB470" s="81">
        <v>17.726103043879363</v>
      </c>
      <c r="HC470" s="81">
        <v>60.20082</v>
      </c>
      <c r="HE470" s="81">
        <v>205.58988133333332</v>
      </c>
      <c r="HF470" s="81">
        <v>90.642128666666665</v>
      </c>
      <c r="HG470" s="81">
        <v>191.96801333333337</v>
      </c>
      <c r="HI470" s="81">
        <v>129.98048</v>
      </c>
      <c r="HJ470" s="81">
        <v>34.504837999999999</v>
      </c>
    </row>
    <row r="471" spans="1:218">
      <c r="A471" t="s">
        <v>1201</v>
      </c>
      <c r="C471" t="s">
        <v>1112</v>
      </c>
      <c r="E471" s="81" t="s">
        <v>129</v>
      </c>
      <c r="F471" s="81" t="s">
        <v>767</v>
      </c>
      <c r="GX471" s="81">
        <v>6.8915654492871168</v>
      </c>
      <c r="GY471" s="81">
        <v>0.35231413607732226</v>
      </c>
      <c r="GZ471" s="81">
        <v>2.0318267847882048</v>
      </c>
      <c r="HA471" s="81">
        <v>0.17368730379008612</v>
      </c>
      <c r="HB471" s="81">
        <v>16.270124083205591</v>
      </c>
      <c r="HC471" s="81">
        <v>67.214254999999994</v>
      </c>
      <c r="HE471" s="81">
        <v>153.33673333333331</v>
      </c>
      <c r="HF471" s="81">
        <v>72.579799333333327</v>
      </c>
      <c r="HG471" s="81">
        <v>115.46492000000001</v>
      </c>
      <c r="HI471" s="81">
        <v>120.94344000000001</v>
      </c>
      <c r="HJ471" s="81">
        <v>32.22898</v>
      </c>
    </row>
    <row r="472" spans="1:218">
      <c r="A472" t="s">
        <v>1202</v>
      </c>
      <c r="C472" t="s">
        <v>1113</v>
      </c>
      <c r="E472" s="81" t="s">
        <v>129</v>
      </c>
      <c r="F472" s="81" t="s">
        <v>767</v>
      </c>
      <c r="GX472" s="81">
        <v>10.078307138114107</v>
      </c>
      <c r="GZ472" s="81">
        <v>2.4559768951178476</v>
      </c>
      <c r="HA472" s="81">
        <v>0.20425508287357727</v>
      </c>
      <c r="HB472" s="81">
        <v>15.438857935344478</v>
      </c>
      <c r="HC472" s="81">
        <v>58.997775000000011</v>
      </c>
      <c r="HE472" s="81">
        <v>121.70686666666666</v>
      </c>
      <c r="HF472" s="81">
        <v>84.289196999999987</v>
      </c>
      <c r="HG472" s="81">
        <v>195.00979466666664</v>
      </c>
      <c r="HI472" s="81">
        <v>128.07812000000001</v>
      </c>
      <c r="HJ472" s="81">
        <v>34.535551333333331</v>
      </c>
    </row>
    <row r="473" spans="1:218">
      <c r="A473" t="s">
        <v>1203</v>
      </c>
      <c r="C473" t="s">
        <v>1114</v>
      </c>
      <c r="E473" s="81" t="s">
        <v>129</v>
      </c>
      <c r="F473" s="81" t="s">
        <v>767</v>
      </c>
      <c r="GX473" s="81">
        <v>9.8166419041886073</v>
      </c>
      <c r="GZ473" s="81">
        <v>1.863987759161071</v>
      </c>
      <c r="HA473" s="81">
        <v>0.18968021684379321</v>
      </c>
      <c r="HB473" s="81">
        <v>15.915348857220785</v>
      </c>
      <c r="HC473" s="81">
        <v>63.140635000000003</v>
      </c>
      <c r="HE473" s="81">
        <v>306.34925466666664</v>
      </c>
      <c r="HF473" s="81">
        <v>68.742109999999997</v>
      </c>
      <c r="HG473" s="81">
        <v>180.78679200000002</v>
      </c>
      <c r="HI473" s="81">
        <v>114.66864000000002</v>
      </c>
      <c r="HJ473" s="81">
        <v>31.946417333333333</v>
      </c>
    </row>
    <row r="474" spans="1:218">
      <c r="A474" t="s">
        <v>1204</v>
      </c>
      <c r="C474" t="s">
        <v>1115</v>
      </c>
      <c r="E474" s="81" t="s">
        <v>129</v>
      </c>
      <c r="F474" s="81" t="s">
        <v>767</v>
      </c>
      <c r="GX474" s="81">
        <v>10.002669378227052</v>
      </c>
      <c r="GZ474" s="81">
        <v>2.1338944852049111</v>
      </c>
      <c r="HA474" s="81">
        <v>0.19520269360736561</v>
      </c>
      <c r="HB474" s="81">
        <v>14.6189483691485</v>
      </c>
      <c r="HC474" s="81">
        <v>69.787674999999993</v>
      </c>
      <c r="HE474" s="81">
        <v>162.82873466666663</v>
      </c>
      <c r="HF474" s="81">
        <v>71.646307333333326</v>
      </c>
      <c r="HG474" s="81">
        <v>196.04155466666668</v>
      </c>
      <c r="HI474" s="81">
        <v>122.00583999999999</v>
      </c>
      <c r="HJ474" s="81">
        <v>31.485717333333337</v>
      </c>
    </row>
    <row r="475" spans="1:218">
      <c r="A475" t="s">
        <v>1205</v>
      </c>
      <c r="C475" t="s">
        <v>1116</v>
      </c>
      <c r="E475" s="81" t="s">
        <v>129</v>
      </c>
      <c r="F475" s="81" t="s">
        <v>767</v>
      </c>
      <c r="GX475" s="81">
        <v>2.6397737878954488</v>
      </c>
      <c r="GY475" s="81">
        <v>0.50989456302983438</v>
      </c>
      <c r="GZ475" s="81">
        <v>1.4779427568103911</v>
      </c>
      <c r="HA475" s="81">
        <v>9.2912425936451881E-2</v>
      </c>
      <c r="HB475" s="81">
        <v>16.949924930946825</v>
      </c>
      <c r="HC475" s="81">
        <v>69.441475000000011</v>
      </c>
      <c r="HE475" s="81">
        <v>167.96554666666665</v>
      </c>
      <c r="HF475" s="81">
        <v>75.86924733333332</v>
      </c>
      <c r="HG475" s="81">
        <v>11.024058666666667</v>
      </c>
      <c r="HI475" s="81">
        <v>88.938640000000007</v>
      </c>
      <c r="HJ475" s="81">
        <v>36.544203333333336</v>
      </c>
    </row>
    <row r="476" spans="1:218">
      <c r="A476" t="s">
        <v>1206</v>
      </c>
      <c r="C476" t="s">
        <v>1117</v>
      </c>
      <c r="E476" s="81" t="s">
        <v>129</v>
      </c>
      <c r="F476" s="81" t="s">
        <v>767</v>
      </c>
      <c r="GX476" s="81">
        <v>6.9334472077832769</v>
      </c>
      <c r="GY476" s="81">
        <v>0.31304835173867834</v>
      </c>
      <c r="GZ476" s="81">
        <v>1.8653096129232454</v>
      </c>
      <c r="HA476" s="81">
        <v>0.1587054100761012</v>
      </c>
      <c r="HB476" s="81">
        <v>17.760725837369929</v>
      </c>
      <c r="HC476" s="81">
        <v>68.723110000000005</v>
      </c>
      <c r="HE476" s="81">
        <v>181.21663599999999</v>
      </c>
      <c r="HF476" s="81">
        <v>93.02031066666666</v>
      </c>
      <c r="HG476" s="81">
        <v>171.89837066666666</v>
      </c>
      <c r="HI476" s="81">
        <v>121.33188</v>
      </c>
      <c r="HJ476" s="81">
        <v>32.296549333333331</v>
      </c>
    </row>
    <row r="477" spans="1:218">
      <c r="A477" t="s">
        <v>1207</v>
      </c>
      <c r="C477" t="s">
        <v>1118</v>
      </c>
      <c r="E477" s="81" t="s">
        <v>129</v>
      </c>
      <c r="F477" s="81" t="s">
        <v>767</v>
      </c>
      <c r="GX477" s="81">
        <v>8.3199195866799585</v>
      </c>
      <c r="GZ477" s="81">
        <v>1.5001873259949339</v>
      </c>
      <c r="HA477" s="81">
        <v>0.16501480702912874</v>
      </c>
      <c r="HB477" s="81">
        <v>16.457018257233319</v>
      </c>
      <c r="HC477" s="81">
        <v>84.899305000000012</v>
      </c>
      <c r="HE477" s="81">
        <v>84.785079999999994</v>
      </c>
      <c r="HF477" s="81">
        <v>85.533852999999979</v>
      </c>
      <c r="HG477" s="81">
        <v>178.26089066666668</v>
      </c>
      <c r="HI477" s="81">
        <v>94.078000000000017</v>
      </c>
      <c r="HJ477" s="81">
        <v>27.840044666666667</v>
      </c>
    </row>
    <row r="478" spans="1:218">
      <c r="A478" t="s">
        <v>1208</v>
      </c>
      <c r="C478" t="s">
        <v>1119</v>
      </c>
      <c r="E478" s="81" t="s">
        <v>129</v>
      </c>
      <c r="F478" s="81" t="s">
        <v>767</v>
      </c>
      <c r="GX478" s="81">
        <v>6.3289079860082742</v>
      </c>
      <c r="GY478" s="81">
        <v>0.4794957930301848</v>
      </c>
      <c r="GZ478" s="81">
        <v>1.7067184445763155</v>
      </c>
      <c r="HA478" s="81">
        <v>0.12731234727429921</v>
      </c>
      <c r="HB478" s="81">
        <v>16.69367798620306</v>
      </c>
      <c r="HC478" s="81">
        <v>65.411130000000014</v>
      </c>
      <c r="HE478" s="81">
        <v>96.11708800000001</v>
      </c>
      <c r="HF478" s="81">
        <v>62.444743333333328</v>
      </c>
      <c r="HG478" s="81">
        <v>139.99023733333331</v>
      </c>
      <c r="HI478" s="81">
        <v>113.00531999999998</v>
      </c>
      <c r="HJ478" s="81">
        <v>26.150811333333333</v>
      </c>
    </row>
    <row r="479" spans="1:218">
      <c r="A479" t="s">
        <v>1209</v>
      </c>
      <c r="C479" t="s">
        <v>1120</v>
      </c>
      <c r="E479" s="81" t="s">
        <v>129</v>
      </c>
      <c r="F479" s="81" t="s">
        <v>767</v>
      </c>
      <c r="GX479" s="81">
        <v>7.7150570035824098</v>
      </c>
      <c r="GZ479" s="81">
        <v>1.3471759276165625</v>
      </c>
      <c r="HA479" s="81">
        <v>0.16161869902957166</v>
      </c>
      <c r="HB479" s="81">
        <v>12.834943131564501</v>
      </c>
      <c r="HC479" s="81">
        <v>76.423175000000001</v>
      </c>
      <c r="HE479" s="81">
        <v>62.854025333333333</v>
      </c>
      <c r="HF479" s="81">
        <v>52.198557333333333</v>
      </c>
      <c r="HG479" s="81">
        <v>189.82806666666667</v>
      </c>
      <c r="HI479" s="81">
        <v>92.129159999999999</v>
      </c>
      <c r="HJ479" s="81">
        <v>25.668612</v>
      </c>
    </row>
    <row r="480" spans="1:218">
      <c r="A480" t="s">
        <v>1210</v>
      </c>
      <c r="C480" t="s">
        <v>1121</v>
      </c>
      <c r="E480" s="81" t="s">
        <v>129</v>
      </c>
      <c r="F480" s="81" t="s">
        <v>767</v>
      </c>
      <c r="GX480" s="81">
        <v>8.3068557892491004</v>
      </c>
      <c r="GZ480" s="81">
        <v>1.9321212438699105</v>
      </c>
      <c r="HA480" s="81">
        <v>0.15278339119493387</v>
      </c>
      <c r="HB480" s="81">
        <v>15.602805980481138</v>
      </c>
      <c r="HC480" s="81">
        <v>81.06802500000002</v>
      </c>
      <c r="HE480" s="81">
        <v>145.28328266666668</v>
      </c>
      <c r="HF480" s="81">
        <v>78.869757333333325</v>
      </c>
      <c r="HG480" s="81">
        <v>193.43158400000002</v>
      </c>
      <c r="HI480" s="81">
        <v>99.320279999999983</v>
      </c>
      <c r="HJ480" s="81">
        <v>24.590574000000004</v>
      </c>
    </row>
    <row r="481" spans="1:218">
      <c r="A481" t="s">
        <v>1211</v>
      </c>
      <c r="C481" t="s">
        <v>1122</v>
      </c>
      <c r="E481" s="81" t="s">
        <v>129</v>
      </c>
      <c r="F481" s="81" t="s">
        <v>767</v>
      </c>
      <c r="GX481" s="81">
        <v>7.3164910167013231</v>
      </c>
      <c r="GZ481" s="81">
        <v>1.5150735379844462</v>
      </c>
      <c r="HA481" s="81">
        <v>0.11544444926840795</v>
      </c>
      <c r="HB481" s="81">
        <v>15.356055808303756</v>
      </c>
      <c r="HC481" s="81">
        <v>72.675560000000004</v>
      </c>
      <c r="HE481" s="81">
        <v>82.501038666666673</v>
      </c>
      <c r="HF481" s="81">
        <v>85.541261666666671</v>
      </c>
      <c r="HG481" s="81">
        <v>174.19881333333333</v>
      </c>
      <c r="HI481" s="81">
        <v>92.222120000000018</v>
      </c>
      <c r="HJ481" s="81">
        <v>23.884167333333334</v>
      </c>
    </row>
    <row r="482" spans="1:218">
      <c r="A482" t="s">
        <v>1212</v>
      </c>
      <c r="C482" t="s">
        <v>1123</v>
      </c>
      <c r="E482" s="81" t="s">
        <v>129</v>
      </c>
      <c r="F482" s="81" t="s">
        <v>767</v>
      </c>
      <c r="GX482" s="81">
        <v>6.4266557327895706</v>
      </c>
      <c r="GZ482" s="81">
        <v>1.7706582856584285</v>
      </c>
      <c r="HA482" s="81">
        <v>0.11032104677451765</v>
      </c>
      <c r="HB482" s="81">
        <v>17.689067882218325</v>
      </c>
      <c r="HC482" s="81">
        <v>78.240724999999998</v>
      </c>
      <c r="HE482" s="81">
        <v>86.168886666666666</v>
      </c>
      <c r="HF482" s="81">
        <v>108.91190066666665</v>
      </c>
      <c r="HG482" s="81">
        <v>164.16017066666666</v>
      </c>
      <c r="HI482" s="81">
        <v>100.61176</v>
      </c>
      <c r="HJ482" s="81">
        <v>27.999753999999999</v>
      </c>
    </row>
    <row r="483" spans="1:218">
      <c r="A483" t="s">
        <v>1213</v>
      </c>
      <c r="C483" t="s">
        <v>1124</v>
      </c>
      <c r="E483" s="81" t="s">
        <v>129</v>
      </c>
      <c r="F483" s="81" t="s">
        <v>767</v>
      </c>
      <c r="GX483" s="81">
        <v>9.3441396638376819</v>
      </c>
      <c r="GZ483" s="81">
        <v>1.8350468972303675</v>
      </c>
      <c r="HA483" s="81">
        <v>0.15738140048266594</v>
      </c>
      <c r="HB483" s="81">
        <v>14.958161397787748</v>
      </c>
      <c r="HC483" s="81">
        <v>76.772260000000003</v>
      </c>
      <c r="HE483" s="81">
        <v>67.24875200000001</v>
      </c>
      <c r="HF483" s="81">
        <v>71.931540999999982</v>
      </c>
      <c r="HG483" s="81">
        <v>201.57484533333334</v>
      </c>
      <c r="HI483" s="81">
        <v>83.444040000000001</v>
      </c>
      <c r="HJ483" s="81">
        <v>24.320296666666668</v>
      </c>
    </row>
    <row r="484" spans="1:218">
      <c r="A484" t="s">
        <v>1214</v>
      </c>
      <c r="C484" t="s">
        <v>1125</v>
      </c>
      <c r="E484" s="81" t="s">
        <v>129</v>
      </c>
      <c r="F484" s="81" t="s">
        <v>767</v>
      </c>
      <c r="GX484" s="81">
        <v>6.4418779148933725</v>
      </c>
      <c r="GZ484" s="81">
        <v>1.6163403906829341</v>
      </c>
      <c r="HA484" s="81">
        <v>0.1090742320867067</v>
      </c>
      <c r="HB484" s="81">
        <v>14.735048420408651</v>
      </c>
      <c r="HC484" s="81">
        <v>73.223709999999997</v>
      </c>
      <c r="HE484" s="81">
        <v>25.275310666666666</v>
      </c>
      <c r="HF484" s="81">
        <v>62.192848666666656</v>
      </c>
      <c r="HG484" s="81">
        <v>162.64310133333333</v>
      </c>
      <c r="HI484" s="81">
        <v>94.941200000000023</v>
      </c>
      <c r="HJ484" s="81">
        <v>30.810023999999999</v>
      </c>
    </row>
    <row r="485" spans="1:218">
      <c r="A485" t="s">
        <v>1215</v>
      </c>
      <c r="C485" t="s">
        <v>1126</v>
      </c>
      <c r="E485" s="81" t="s">
        <v>129</v>
      </c>
      <c r="F485" s="81" t="s">
        <v>767</v>
      </c>
      <c r="GX485" s="81">
        <v>7.5980081323886521</v>
      </c>
      <c r="GZ485" s="81">
        <v>2.1578801018791336</v>
      </c>
      <c r="HA485" s="81">
        <v>0.1739282454652166</v>
      </c>
      <c r="HB485" s="81">
        <v>13.614986710881761</v>
      </c>
      <c r="HC485" s="81">
        <v>62.710770000000004</v>
      </c>
      <c r="HE485" s="81">
        <v>58.07304933333333</v>
      </c>
      <c r="HF485" s="81">
        <v>76.406375666666662</v>
      </c>
      <c r="HG485" s="81">
        <v>200.62333333333333</v>
      </c>
      <c r="HI485" s="81">
        <v>107.58376000000003</v>
      </c>
      <c r="HJ485" s="81">
        <v>31.197012000000001</v>
      </c>
    </row>
    <row r="486" spans="1:218">
      <c r="A486" t="s">
        <v>1216</v>
      </c>
      <c r="C486" t="s">
        <v>1127</v>
      </c>
      <c r="E486" s="81" t="s">
        <v>129</v>
      </c>
      <c r="F486" s="81" t="s">
        <v>767</v>
      </c>
      <c r="GX486" s="81">
        <v>6.3143112472883374</v>
      </c>
      <c r="GZ486" s="81">
        <v>1.5706380362748134</v>
      </c>
      <c r="HA486" s="81">
        <v>0.22412879436457955</v>
      </c>
      <c r="HB486" s="81">
        <v>15.729490303206996</v>
      </c>
      <c r="HC486" s="81">
        <v>90.193280000000016</v>
      </c>
      <c r="HE486" s="81">
        <v>21.750405333333333</v>
      </c>
      <c r="HF486" s="81">
        <v>63.541226000000002</v>
      </c>
      <c r="HG486" s="81">
        <v>163.26215733333331</v>
      </c>
      <c r="HI486" s="81">
        <v>89.350320000000011</v>
      </c>
      <c r="HJ486" s="81">
        <v>28.122607333333335</v>
      </c>
    </row>
    <row r="487" spans="1:218">
      <c r="A487" t="s">
        <v>1217</v>
      </c>
      <c r="C487" t="s">
        <v>1128</v>
      </c>
      <c r="E487" s="81" t="s">
        <v>129</v>
      </c>
      <c r="F487" s="81" t="s">
        <v>767</v>
      </c>
      <c r="GX487" s="81">
        <v>7.9836384146466486</v>
      </c>
      <c r="GZ487" s="81">
        <v>1.9387327878163454</v>
      </c>
      <c r="HA487" s="81">
        <v>0.23158909718327869</v>
      </c>
      <c r="HB487" s="81">
        <v>13.142320143820632</v>
      </c>
      <c r="HC487" s="81">
        <v>79.836130000000011</v>
      </c>
      <c r="HE487" s="81">
        <v>99.906589333333329</v>
      </c>
      <c r="HF487" s="81">
        <v>73.565151999999998</v>
      </c>
      <c r="HG487" s="81">
        <v>186.381224</v>
      </c>
      <c r="HI487" s="81">
        <v>103.81887999999999</v>
      </c>
      <c r="HJ487" s="81">
        <v>25.628684666666668</v>
      </c>
    </row>
    <row r="488" spans="1:218">
      <c r="A488" t="s">
        <v>1218</v>
      </c>
      <c r="C488" t="s">
        <v>1129</v>
      </c>
      <c r="E488" s="81" t="s">
        <v>129</v>
      </c>
      <c r="F488" s="81" t="s">
        <v>767</v>
      </c>
      <c r="GX488" s="81">
        <v>4.9214980657868415</v>
      </c>
      <c r="GY488" s="81">
        <v>0.45646604505969979</v>
      </c>
      <c r="GZ488" s="81">
        <v>1.3440726427084631</v>
      </c>
      <c r="HA488" s="81">
        <v>9.6325376460872469E-2</v>
      </c>
      <c r="HB488" s="81">
        <v>13.702447170291419</v>
      </c>
      <c r="HC488" s="81">
        <v>59.869045000000007</v>
      </c>
      <c r="HE488" s="81">
        <v>110.71548800000001</v>
      </c>
      <c r="HF488" s="81">
        <v>95.843012666666667</v>
      </c>
      <c r="HG488" s="81">
        <v>169.42978933333333</v>
      </c>
      <c r="HI488" s="81">
        <v>91.757320000000007</v>
      </c>
      <c r="HJ488" s="81">
        <v>20.250780000000002</v>
      </c>
    </row>
    <row r="489" spans="1:218">
      <c r="A489" t="s">
        <v>1219</v>
      </c>
      <c r="C489" t="s">
        <v>1130</v>
      </c>
      <c r="E489" s="81" t="s">
        <v>129</v>
      </c>
      <c r="F489" s="81" t="s">
        <v>767</v>
      </c>
      <c r="GX489" s="81">
        <v>3.1101864882421029</v>
      </c>
      <c r="GY489" s="81">
        <v>0.39550875940160585</v>
      </c>
      <c r="GZ489" s="81">
        <v>1.450117848873399</v>
      </c>
      <c r="HA489" s="81">
        <v>0.20332079059156657</v>
      </c>
      <c r="HB489" s="81">
        <v>18.622823704700835</v>
      </c>
      <c r="HC489" s="81">
        <v>76.974209999999985</v>
      </c>
      <c r="HE489" s="81">
        <v>63.915450666666658</v>
      </c>
      <c r="HF489" s="81">
        <v>88.934431000000004</v>
      </c>
      <c r="HG489" s="81">
        <v>120.864464</v>
      </c>
      <c r="HI489" s="81">
        <v>102.07256</v>
      </c>
      <c r="HJ489" s="81">
        <v>36.568773999999998</v>
      </c>
    </row>
    <row r="490" spans="1:218">
      <c r="A490" t="s">
        <v>1220</v>
      </c>
      <c r="C490" t="s">
        <v>1131</v>
      </c>
      <c r="E490" s="81" t="s">
        <v>129</v>
      </c>
      <c r="F490" s="81" t="s">
        <v>767</v>
      </c>
      <c r="GX490" s="81">
        <v>6.6531797271424331</v>
      </c>
      <c r="GZ490" s="81">
        <v>1.9479618752281531</v>
      </c>
      <c r="HA490" s="81">
        <v>0.21855438648267808</v>
      </c>
      <c r="HB490" s="81">
        <v>16.272779694829239</v>
      </c>
      <c r="HC490" s="81">
        <v>70.324285000000017</v>
      </c>
      <c r="HE490" s="81">
        <v>48.723990666666658</v>
      </c>
      <c r="HF490" s="81">
        <v>56.736365666666664</v>
      </c>
      <c r="HG490" s="81">
        <v>172.42953600000001</v>
      </c>
      <c r="HI490" s="81">
        <v>82.906199999999998</v>
      </c>
      <c r="HJ490" s="81">
        <v>23.666102666666671</v>
      </c>
    </row>
    <row r="491" spans="1:218">
      <c r="A491" t="s">
        <v>1221</v>
      </c>
      <c r="C491" t="s">
        <v>1132</v>
      </c>
      <c r="E491" s="81" t="s">
        <v>129</v>
      </c>
      <c r="F491" s="81" t="s">
        <v>767</v>
      </c>
      <c r="GX491" s="81">
        <v>5.2792591916859477</v>
      </c>
      <c r="GZ491" s="81">
        <v>1.5298135725140283</v>
      </c>
      <c r="HA491" s="81">
        <v>0.16089680970000605</v>
      </c>
      <c r="HB491" s="81">
        <v>18.438820065551329</v>
      </c>
      <c r="HC491" s="81">
        <v>80.91223500000001</v>
      </c>
      <c r="HE491" s="81">
        <v>46.674131999999993</v>
      </c>
      <c r="HF491" s="81">
        <v>63.804233666666669</v>
      </c>
      <c r="HG491" s="81">
        <v>157.61804800000002</v>
      </c>
      <c r="HI491" s="81">
        <v>90.512320000000003</v>
      </c>
      <c r="HJ491" s="81">
        <v>24.513790666666665</v>
      </c>
    </row>
    <row r="492" spans="1:218">
      <c r="A492" t="s">
        <v>1222</v>
      </c>
      <c r="C492" t="s">
        <v>1133</v>
      </c>
      <c r="E492" s="81" t="s">
        <v>129</v>
      </c>
      <c r="F492" s="81" t="s">
        <v>767</v>
      </c>
      <c r="GX492" s="81">
        <v>2.9374760765671435</v>
      </c>
      <c r="GY492" s="81">
        <v>0.53331086535391214</v>
      </c>
      <c r="GZ492" s="81">
        <v>1.8100300753621597</v>
      </c>
      <c r="HA492" s="81">
        <v>0.18017448295000604</v>
      </c>
      <c r="HB492" s="81">
        <v>11.576827303213543</v>
      </c>
      <c r="HC492" s="81">
        <v>56.76478500000001</v>
      </c>
      <c r="HE492" s="81">
        <v>40.339034666666663</v>
      </c>
      <c r="HF492" s="81">
        <v>141.08774000000003</v>
      </c>
      <c r="HG492" s="81">
        <v>110.36344000000001</v>
      </c>
      <c r="HH492" s="81">
        <v>8.9567873333333328</v>
      </c>
      <c r="HI492" s="81">
        <v>125.80059999999999</v>
      </c>
      <c r="HJ492" s="81">
        <v>26.783505999999999</v>
      </c>
    </row>
    <row r="493" spans="1:218">
      <c r="A493" t="s">
        <v>1223</v>
      </c>
      <c r="C493" t="s">
        <v>1134</v>
      </c>
      <c r="E493" s="81" t="s">
        <v>129</v>
      </c>
      <c r="F493" s="81" t="s">
        <v>767</v>
      </c>
      <c r="GX493" s="81">
        <v>8.0671353150130276</v>
      </c>
      <c r="GY493" s="81">
        <v>0.35410901418698737</v>
      </c>
      <c r="GZ493" s="81">
        <v>1.873551291500658</v>
      </c>
      <c r="HA493" s="81">
        <v>0.26834977908949154</v>
      </c>
      <c r="HB493" s="81">
        <v>13.696823694884918</v>
      </c>
      <c r="HC493" s="81">
        <v>73.362190000000012</v>
      </c>
      <c r="HE493" s="81">
        <v>113.51959733333335</v>
      </c>
      <c r="HF493" s="81">
        <v>83.326070333333334</v>
      </c>
      <c r="HG493" s="81">
        <v>181.04664266666666</v>
      </c>
      <c r="HI493" s="81">
        <v>116.79676000000001</v>
      </c>
      <c r="HJ493" s="81">
        <v>31.233868000000001</v>
      </c>
    </row>
    <row r="494" spans="1:218">
      <c r="A494" t="s">
        <v>1224</v>
      </c>
      <c r="C494" t="s">
        <v>1135</v>
      </c>
      <c r="E494" s="81" t="s">
        <v>129</v>
      </c>
      <c r="F494" s="81" t="s">
        <v>767</v>
      </c>
      <c r="GX494" s="81">
        <v>7.9736722100655726</v>
      </c>
      <c r="GZ494" s="81">
        <v>1.8355553900287254</v>
      </c>
      <c r="HA494" s="81">
        <v>0.16272515934352025</v>
      </c>
      <c r="HB494" s="81">
        <v>16.474330143402053</v>
      </c>
      <c r="HC494" s="81">
        <v>72.880395000000007</v>
      </c>
      <c r="HE494" s="81">
        <v>33.699804</v>
      </c>
      <c r="HF494" s="81">
        <v>63.852389999999993</v>
      </c>
      <c r="HG494" s="81">
        <v>166.80835466666667</v>
      </c>
      <c r="HI494" s="81">
        <v>95.940519999999992</v>
      </c>
      <c r="HJ494" s="81">
        <v>28.884298000000001</v>
      </c>
    </row>
    <row r="495" spans="1:218">
      <c r="A495" t="s">
        <v>1225</v>
      </c>
      <c r="C495" t="s">
        <v>1136</v>
      </c>
      <c r="E495" s="81" t="s">
        <v>129</v>
      </c>
      <c r="F495" s="81" t="s">
        <v>767</v>
      </c>
      <c r="GX495" s="81">
        <v>8.8442501798085633</v>
      </c>
      <c r="GZ495" s="81">
        <v>2.2968505011296929</v>
      </c>
      <c r="HA495" s="81">
        <v>0.1672501843568438</v>
      </c>
      <c r="HB495" s="81">
        <v>14.693878609467015</v>
      </c>
      <c r="HC495" s="81">
        <v>69.15874500000001</v>
      </c>
      <c r="HE495" s="81">
        <v>44.703347999999998</v>
      </c>
      <c r="HF495" s="81">
        <v>65.997198999999981</v>
      </c>
      <c r="HG495" s="81">
        <v>201.25385333333335</v>
      </c>
      <c r="HI495" s="81">
        <v>114.16399999999999</v>
      </c>
      <c r="HJ495" s="81">
        <v>28.25467466666667</v>
      </c>
    </row>
    <row r="496" spans="1:218">
      <c r="A496" t="s">
        <v>1226</v>
      </c>
      <c r="C496" t="s">
        <v>1137</v>
      </c>
      <c r="E496" s="81" t="s">
        <v>129</v>
      </c>
      <c r="F496" s="81" t="s">
        <v>767</v>
      </c>
      <c r="GX496" s="81">
        <v>8.8362241431627613</v>
      </c>
      <c r="GZ496" s="81">
        <v>1.4453230006741178</v>
      </c>
      <c r="HA496" s="81">
        <v>0.11785339817179952</v>
      </c>
      <c r="HB496" s="81">
        <v>13.789272358066819</v>
      </c>
      <c r="HC496" s="81">
        <v>62.880985000000003</v>
      </c>
      <c r="HE496" s="81">
        <v>44.478289333333329</v>
      </c>
      <c r="HF496" s="81">
        <v>52.057792666666664</v>
      </c>
      <c r="HG496" s="81">
        <v>190.42037333333334</v>
      </c>
      <c r="HI496" s="81">
        <v>75.52252</v>
      </c>
      <c r="HJ496" s="81">
        <v>21.958441333333337</v>
      </c>
    </row>
    <row r="497" spans="1:218">
      <c r="A497" t="s">
        <v>1227</v>
      </c>
      <c r="C497" t="s">
        <v>1138</v>
      </c>
      <c r="E497" s="81" t="s">
        <v>129</v>
      </c>
      <c r="F497" s="81" t="s">
        <v>767</v>
      </c>
      <c r="GX497" s="81">
        <v>8.9301036540455758</v>
      </c>
      <c r="GZ497" s="81">
        <v>2.18148975240155</v>
      </c>
      <c r="HA497" s="81">
        <v>0.17379163387465721</v>
      </c>
      <c r="HB497" s="81">
        <v>14.235198785675422</v>
      </c>
      <c r="HC497" s="81">
        <v>73.506440000000012</v>
      </c>
      <c r="HE497" s="81">
        <v>294.1230946666667</v>
      </c>
      <c r="HF497" s="81">
        <v>66.904760666666661</v>
      </c>
      <c r="HG497" s="81">
        <v>202.26650666666669</v>
      </c>
      <c r="HI497" s="81">
        <v>111.99603999999999</v>
      </c>
      <c r="HJ497" s="81">
        <v>27.569767333333335</v>
      </c>
    </row>
    <row r="498" spans="1:218">
      <c r="A498" t="s">
        <v>1228</v>
      </c>
      <c r="C498" t="s">
        <v>1139</v>
      </c>
      <c r="E498" s="81" t="s">
        <v>129</v>
      </c>
      <c r="F498" s="81" t="s">
        <v>767</v>
      </c>
      <c r="GX498" s="81">
        <v>8.0696696333009577</v>
      </c>
      <c r="GY498" s="81">
        <v>1.6344086810114191</v>
      </c>
      <c r="GZ498" s="81">
        <v>1.5223738792226167</v>
      </c>
      <c r="HA498" s="81">
        <v>0.14811473687235774</v>
      </c>
      <c r="HB498" s="81">
        <v>16.387733026952972</v>
      </c>
      <c r="HC498" s="81">
        <v>78.033005000000003</v>
      </c>
      <c r="HE498" s="81">
        <v>143.07527466666667</v>
      </c>
      <c r="HF498" s="81">
        <v>66.549144666666663</v>
      </c>
      <c r="HG498" s="81">
        <v>190.84454133333335</v>
      </c>
      <c r="HH498" s="81">
        <v>16.741238666666664</v>
      </c>
      <c r="HI498" s="81">
        <v>109.55252</v>
      </c>
      <c r="HJ498" s="81">
        <v>30.318610666666672</v>
      </c>
    </row>
    <row r="499" spans="1:218">
      <c r="A499" t="s">
        <v>1229</v>
      </c>
      <c r="C499" t="s">
        <v>1140</v>
      </c>
      <c r="E499" s="81" t="s">
        <v>129</v>
      </c>
      <c r="F499" s="81" t="s">
        <v>767</v>
      </c>
      <c r="GX499" s="81">
        <v>9.2967315560291031</v>
      </c>
      <c r="GY499" s="81">
        <v>0.39398590102224684</v>
      </c>
      <c r="GZ499" s="81">
        <v>1.2368227522628532</v>
      </c>
      <c r="HA499" s="81">
        <v>0.16355512154095983</v>
      </c>
      <c r="HB499" s="81">
        <v>12.596320814572126</v>
      </c>
      <c r="HC499" s="81">
        <v>84.120355000000004</v>
      </c>
      <c r="HE499" s="81">
        <v>48.821313333333329</v>
      </c>
      <c r="HF499" s="81">
        <v>65.074819999999988</v>
      </c>
      <c r="HG499" s="81">
        <v>178.38317333333336</v>
      </c>
      <c r="HH499" s="81">
        <v>7.7686020000000005</v>
      </c>
      <c r="HI499" s="81">
        <v>72.803440000000009</v>
      </c>
      <c r="HJ499" s="81">
        <v>21.156823333333332</v>
      </c>
    </row>
    <row r="500" spans="1:218">
      <c r="A500" t="s">
        <v>1230</v>
      </c>
      <c r="C500" t="s">
        <v>1141</v>
      </c>
      <c r="E500" s="81" t="s">
        <v>129</v>
      </c>
      <c r="F500" s="81" t="s">
        <v>767</v>
      </c>
      <c r="GX500" s="81">
        <v>9.3364628574202317</v>
      </c>
      <c r="GY500" s="81">
        <v>0.68821856659064684</v>
      </c>
      <c r="GZ500" s="81">
        <v>1.6570175394160067</v>
      </c>
      <c r="HA500" s="81">
        <v>0.18412218363884236</v>
      </c>
      <c r="HB500" s="81">
        <v>14.979017688559949</v>
      </c>
      <c r="HC500" s="81">
        <v>83.849165000000013</v>
      </c>
      <c r="HE500" s="81">
        <v>56.555423999999995</v>
      </c>
      <c r="HF500" s="81">
        <v>71.157335333333336</v>
      </c>
      <c r="HG500" s="81">
        <v>166.03262399999997</v>
      </c>
      <c r="HH500" s="81">
        <v>17.393515666666669</v>
      </c>
      <c r="HI500" s="81">
        <v>92.504320000000007</v>
      </c>
      <c r="HJ500" s="81">
        <v>25.665540666666669</v>
      </c>
    </row>
    <row r="501" spans="1:218">
      <c r="A501" t="s">
        <v>1231</v>
      </c>
      <c r="C501" t="s">
        <v>1142</v>
      </c>
      <c r="E501" s="81" t="s">
        <v>129</v>
      </c>
      <c r="F501" s="81" t="s">
        <v>767</v>
      </c>
      <c r="GX501" s="81">
        <v>9.565910455369325</v>
      </c>
      <c r="GY501" s="81">
        <v>0.42161850916606913</v>
      </c>
      <c r="GZ501" s="81">
        <v>1.6432819772375435</v>
      </c>
      <c r="HA501" s="81">
        <v>0.17795360890759007</v>
      </c>
      <c r="HB501" s="81">
        <v>14.351885655648578</v>
      </c>
      <c r="HC501" s="81">
        <v>89.818230000000014</v>
      </c>
      <c r="HE501" s="81">
        <v>48.71182533333333</v>
      </c>
      <c r="HF501" s="81">
        <v>71.698167999999995</v>
      </c>
      <c r="HG501" s="81">
        <v>187.56965866666667</v>
      </c>
      <c r="HH501" s="81">
        <v>9.7468693333333345</v>
      </c>
      <c r="HI501" s="81">
        <v>87.550880000000006</v>
      </c>
      <c r="HJ501" s="81">
        <v>25.330765333333336</v>
      </c>
    </row>
    <row r="502" spans="1:218">
      <c r="A502" t="s">
        <v>1232</v>
      </c>
      <c r="C502" t="s">
        <v>1143</v>
      </c>
      <c r="E502" s="81" t="s">
        <v>129</v>
      </c>
      <c r="F502" s="81" t="s">
        <v>767</v>
      </c>
      <c r="GX502" s="81">
        <v>6.9698026169670255</v>
      </c>
      <c r="GY502" s="81">
        <v>0.52622742636570619</v>
      </c>
      <c r="GZ502" s="81">
        <v>1.5952527279322393</v>
      </c>
      <c r="HA502" s="81">
        <v>0.15386599126532577</v>
      </c>
      <c r="HB502" s="81">
        <v>17.399626281602455</v>
      </c>
      <c r="HC502" s="81">
        <v>84.054000000000002</v>
      </c>
      <c r="HE502" s="81">
        <v>81.409199999999998</v>
      </c>
      <c r="HF502" s="81">
        <v>92.579494999999994</v>
      </c>
      <c r="HG502" s="81">
        <v>133.55893333333333</v>
      </c>
      <c r="HH502" s="81">
        <v>10.356273666666668</v>
      </c>
      <c r="HI502" s="81">
        <v>95.322999999999979</v>
      </c>
      <c r="HJ502" s="81">
        <v>27.391630000000003</v>
      </c>
    </row>
    <row r="503" spans="1:218">
      <c r="A503" t="s">
        <v>1233</v>
      </c>
      <c r="C503" t="s">
        <v>1144</v>
      </c>
      <c r="E503" s="81" t="s">
        <v>129</v>
      </c>
      <c r="F503" s="81" t="s">
        <v>767</v>
      </c>
      <c r="GX503" s="81">
        <v>7.4370021488686113</v>
      </c>
      <c r="GY503" s="81">
        <v>1.4158607959178238</v>
      </c>
      <c r="GZ503" s="81">
        <v>1.3509845045492301</v>
      </c>
      <c r="HA503" s="81">
        <v>0.12652542708484407</v>
      </c>
      <c r="HB503" s="81">
        <v>15.802497109378644</v>
      </c>
      <c r="HC503" s="81">
        <v>70.081945000000005</v>
      </c>
      <c r="HE503" s="81">
        <v>75.071061333333333</v>
      </c>
      <c r="HF503" s="81">
        <v>67.171472666666659</v>
      </c>
      <c r="HG503" s="81">
        <v>151.63766133333334</v>
      </c>
      <c r="HH503" s="81">
        <v>30.530925666666665</v>
      </c>
      <c r="HI503" s="81">
        <v>95.090599999999995</v>
      </c>
      <c r="HJ503" s="81">
        <v>25.699325333333334</v>
      </c>
    </row>
    <row r="504" spans="1:218">
      <c r="A504" t="s">
        <v>1234</v>
      </c>
      <c r="C504" t="s">
        <v>1145</v>
      </c>
      <c r="E504" s="81" t="s">
        <v>129</v>
      </c>
      <c r="F504" s="81" t="s">
        <v>767</v>
      </c>
      <c r="GX504" s="81">
        <v>7.7057892594580322</v>
      </c>
      <c r="GY504" s="81">
        <v>0.36150968394100752</v>
      </c>
      <c r="GZ504" s="81">
        <v>1.434612800010717</v>
      </c>
      <c r="HA504" s="81">
        <v>0.20359728870807547</v>
      </c>
      <c r="HB504" s="81">
        <v>13.557470156808961</v>
      </c>
      <c r="HC504" s="81">
        <v>87.726605000000006</v>
      </c>
      <c r="HE504" s="81">
        <v>36.56474</v>
      </c>
      <c r="HF504" s="81">
        <v>68.453171999999995</v>
      </c>
      <c r="HG504" s="81">
        <v>172.75817066666664</v>
      </c>
      <c r="HI504" s="81">
        <v>87.355000000000004</v>
      </c>
      <c r="HJ504" s="81">
        <v>26.144668666666671</v>
      </c>
    </row>
    <row r="505" spans="1:218">
      <c r="A505" t="s">
        <v>1235</v>
      </c>
      <c r="C505" t="s">
        <v>1146</v>
      </c>
      <c r="E505" s="81" t="s">
        <v>129</v>
      </c>
      <c r="F505" s="81" t="s">
        <v>767</v>
      </c>
      <c r="GX505" s="81">
        <v>9.3306907535026795</v>
      </c>
      <c r="GZ505" s="81">
        <v>1.4549314669410762</v>
      </c>
      <c r="HA505" s="81">
        <v>0.1958689090352991</v>
      </c>
      <c r="HB505" s="81">
        <v>13.926376995403627</v>
      </c>
      <c r="HC505" s="81">
        <v>87.516000000000005</v>
      </c>
      <c r="HE505" s="81">
        <v>87.674346666666679</v>
      </c>
      <c r="HF505" s="81">
        <v>61.977997333333327</v>
      </c>
      <c r="HG505" s="81">
        <v>188.36831733333335</v>
      </c>
      <c r="HI505" s="81">
        <v>94.698840000000004</v>
      </c>
      <c r="HJ505" s="81">
        <v>25.269338666666666</v>
      </c>
    </row>
    <row r="506" spans="1:218">
      <c r="A506" t="s">
        <v>1236</v>
      </c>
      <c r="C506" t="s">
        <v>1147</v>
      </c>
      <c r="E506" s="81" t="s">
        <v>129</v>
      </c>
      <c r="F506" s="81" t="s">
        <v>767</v>
      </c>
      <c r="GX506" s="81">
        <v>7.251284684459395</v>
      </c>
      <c r="GY506" s="81">
        <v>0.81772143345821269</v>
      </c>
      <c r="GZ506" s="81">
        <v>1.2182667466100234</v>
      </c>
      <c r="HA506" s="81">
        <v>0.13077769676496173</v>
      </c>
      <c r="HB506" s="81">
        <v>18.150636772617801</v>
      </c>
      <c r="HC506" s="81">
        <v>78.061854999999994</v>
      </c>
      <c r="HE506" s="81">
        <v>89.994883999999999</v>
      </c>
      <c r="HF506" s="81">
        <v>75.050589666666653</v>
      </c>
      <c r="HG506" s="81">
        <v>133.43282933333333</v>
      </c>
      <c r="HH506" s="81">
        <v>21.717530333333332</v>
      </c>
      <c r="HI506" s="81">
        <v>77.949439999999996</v>
      </c>
      <c r="HJ506" s="81">
        <v>25.852892000000001</v>
      </c>
    </row>
    <row r="507" spans="1:218">
      <c r="A507" t="s">
        <v>1237</v>
      </c>
      <c r="C507" t="s">
        <v>1148</v>
      </c>
      <c r="E507" s="81" t="s">
        <v>129</v>
      </c>
      <c r="F507" s="81" t="s">
        <v>767</v>
      </c>
      <c r="GX507" s="81">
        <v>9.3598187241972095</v>
      </c>
      <c r="GZ507" s="81">
        <v>1.8367447171443478</v>
      </c>
      <c r="HA507" s="81">
        <v>0.19559100737505153</v>
      </c>
      <c r="HB507" s="81">
        <v>14.359733560621878</v>
      </c>
      <c r="HC507" s="81">
        <v>84.382890000000017</v>
      </c>
      <c r="HE507" s="81">
        <v>90.189529333333326</v>
      </c>
      <c r="HF507" s="81">
        <v>73.650351666666666</v>
      </c>
      <c r="HG507" s="81">
        <v>180.53840533333334</v>
      </c>
      <c r="HI507" s="81">
        <v>90.362919999999988</v>
      </c>
      <c r="HJ507" s="81">
        <v>24.876208000000002</v>
      </c>
    </row>
    <row r="508" spans="1:218">
      <c r="A508" t="s">
        <v>1238</v>
      </c>
      <c r="C508" t="s">
        <v>1149</v>
      </c>
      <c r="E508" s="81" t="s">
        <v>129</v>
      </c>
      <c r="F508" s="81" t="s">
        <v>767</v>
      </c>
      <c r="GX508" s="81">
        <v>9.0316391093250328</v>
      </c>
      <c r="GY508" s="81">
        <v>0.33365968606811786</v>
      </c>
      <c r="GZ508" s="81">
        <v>1.9326735330278584</v>
      </c>
      <c r="HA508" s="81">
        <v>0.18604550640867004</v>
      </c>
      <c r="HB508" s="81">
        <v>16.348363804873003</v>
      </c>
      <c r="HC508" s="81">
        <v>68.953910000000008</v>
      </c>
      <c r="HE508" s="81">
        <v>50.947205333333329</v>
      </c>
      <c r="HF508" s="81">
        <v>86.645152999999993</v>
      </c>
      <c r="HG508" s="81">
        <v>171.01564266666665</v>
      </c>
      <c r="HH508" s="81">
        <v>8.4913126666666674</v>
      </c>
      <c r="HI508" s="81">
        <v>105.94036</v>
      </c>
      <c r="HJ508" s="81">
        <v>28.997937333333329</v>
      </c>
    </row>
    <row r="509" spans="1:218">
      <c r="A509" t="s">
        <v>1239</v>
      </c>
      <c r="C509" t="s">
        <v>1150</v>
      </c>
      <c r="E509" s="81" t="s">
        <v>129</v>
      </c>
      <c r="F509" s="81" t="s">
        <v>767</v>
      </c>
      <c r="GX509" s="81">
        <v>9.431080883839698</v>
      </c>
      <c r="GY509" s="81">
        <v>0.70208290738778523</v>
      </c>
      <c r="GZ509" s="81">
        <v>1.6959672914727786</v>
      </c>
      <c r="HA509" s="81">
        <v>0.16515141861968816</v>
      </c>
      <c r="HB509" s="81">
        <v>15.112307759550518</v>
      </c>
      <c r="HC509" s="81">
        <v>76.273155000000017</v>
      </c>
      <c r="HE509" s="81">
        <v>74.912912000000006</v>
      </c>
      <c r="HF509" s="81">
        <v>71.616672666666659</v>
      </c>
      <c r="HG509" s="81">
        <v>182.93056000000001</v>
      </c>
      <c r="HH509" s="81">
        <v>13.525788666666665</v>
      </c>
      <c r="HI509" s="81">
        <v>95.757920000000013</v>
      </c>
      <c r="HJ509" s="81">
        <v>26.728221999999999</v>
      </c>
    </row>
    <row r="510" spans="1:218">
      <c r="A510" t="s">
        <v>1240</v>
      </c>
      <c r="C510" t="s">
        <v>1151</v>
      </c>
      <c r="E510" s="81" t="s">
        <v>129</v>
      </c>
      <c r="F510" s="81" t="s">
        <v>767</v>
      </c>
      <c r="GX510" s="81">
        <v>9.6749524829764244</v>
      </c>
      <c r="GZ510" s="81">
        <v>1.6987975601133034</v>
      </c>
      <c r="HA510" s="81">
        <v>0.21119981729228854</v>
      </c>
      <c r="HB510" s="81">
        <v>13.880861104252268</v>
      </c>
      <c r="HC510" s="81">
        <v>78.177255000000002</v>
      </c>
      <c r="HE510" s="81">
        <v>79.833789333333343</v>
      </c>
      <c r="HF510" s="81">
        <v>60.207325999999995</v>
      </c>
      <c r="HG510" s="81">
        <v>198.08214666666666</v>
      </c>
      <c r="HI510" s="81">
        <v>91.173000000000002</v>
      </c>
      <c r="HJ510" s="81">
        <v>24.599788</v>
      </c>
    </row>
    <row r="511" spans="1:218">
      <c r="A511" t="s">
        <v>1241</v>
      </c>
      <c r="C511" t="s">
        <v>1152</v>
      </c>
      <c r="E511" s="81" t="s">
        <v>129</v>
      </c>
      <c r="F511" s="81" t="s">
        <v>767</v>
      </c>
      <c r="GX511" s="81">
        <v>9.00607228558267</v>
      </c>
      <c r="GZ511" s="81">
        <v>2.0104410792787406</v>
      </c>
      <c r="HA511" s="81">
        <v>0.17156093502607084</v>
      </c>
      <c r="HB511" s="81">
        <v>14.023951879769834</v>
      </c>
      <c r="HC511" s="81">
        <v>71.709085000000002</v>
      </c>
      <c r="HE511" s="81">
        <v>76.038205333333323</v>
      </c>
      <c r="HF511" s="81">
        <v>57.79210066666667</v>
      </c>
      <c r="HG511" s="81">
        <v>198.85023466666667</v>
      </c>
      <c r="HI511" s="81">
        <v>92.471119999999999</v>
      </c>
      <c r="HJ511" s="81">
        <v>22.188791333333338</v>
      </c>
    </row>
    <row r="512" spans="1:218">
      <c r="A512" t="s">
        <v>1242</v>
      </c>
      <c r="C512" t="s">
        <v>1153</v>
      </c>
      <c r="E512" s="81" t="s">
        <v>129</v>
      </c>
      <c r="F512" s="81" t="s">
        <v>767</v>
      </c>
      <c r="GX512" s="81">
        <v>9.2639460558462652</v>
      </c>
      <c r="GZ512" s="81">
        <v>1.9154388123533124</v>
      </c>
      <c r="HA512" s="81">
        <v>0.17762143688944909</v>
      </c>
      <c r="HB512" s="81">
        <v>13.270926432423019</v>
      </c>
      <c r="HC512" s="81">
        <v>65.930430000000001</v>
      </c>
      <c r="HE512" s="81">
        <v>70.18668000000001</v>
      </c>
      <c r="HF512" s="81">
        <v>52.954241333333336</v>
      </c>
      <c r="HG512" s="81">
        <v>218.44221066666668</v>
      </c>
      <c r="HI512" s="81">
        <v>94.987679999999997</v>
      </c>
      <c r="HJ512" s="81">
        <v>25.450547333333333</v>
      </c>
    </row>
    <row r="513" spans="1:218">
      <c r="A513" t="s">
        <v>1243</v>
      </c>
      <c r="C513" t="s">
        <v>1154</v>
      </c>
      <c r="E513" s="81" t="s">
        <v>129</v>
      </c>
      <c r="F513" s="81" t="s">
        <v>767</v>
      </c>
      <c r="GX513" s="81">
        <v>10.506478001485428</v>
      </c>
      <c r="GZ513" s="81">
        <v>2.069820979908465</v>
      </c>
      <c r="HA513" s="81">
        <v>0.17333080368047568</v>
      </c>
      <c r="HB513" s="81">
        <v>12.965777765121269</v>
      </c>
      <c r="HC513" s="81">
        <v>71.088810000000009</v>
      </c>
      <c r="HE513" s="81">
        <v>86.28445733333335</v>
      </c>
      <c r="HF513" s="81">
        <v>64.230232000000001</v>
      </c>
      <c r="HG513" s="81">
        <v>220.37962666666667</v>
      </c>
      <c r="HI513" s="81">
        <v>120.18648</v>
      </c>
      <c r="HJ513" s="81">
        <v>28.730731333333335</v>
      </c>
    </row>
    <row r="514" spans="1:218">
      <c r="A514" t="s">
        <v>1244</v>
      </c>
      <c r="C514" t="s">
        <v>1155</v>
      </c>
      <c r="E514" s="81" t="s">
        <v>129</v>
      </c>
      <c r="F514" s="81" t="s">
        <v>767</v>
      </c>
      <c r="GX514" s="81">
        <v>9.1123334058158729</v>
      </c>
      <c r="GZ514" s="81">
        <v>1.9627809707185533</v>
      </c>
      <c r="HA514" s="81">
        <v>0.17045400686420942</v>
      </c>
      <c r="HB514" s="81">
        <v>14.944038105376487</v>
      </c>
      <c r="HC514" s="81">
        <v>71.201324999999997</v>
      </c>
      <c r="HE514" s="81">
        <v>118.61078933333334</v>
      </c>
      <c r="HF514" s="81">
        <v>62.759611666666665</v>
      </c>
      <c r="HG514" s="81">
        <v>181.71155466666667</v>
      </c>
      <c r="HI514" s="81">
        <v>88.779280000000014</v>
      </c>
      <c r="HJ514" s="81">
        <v>25.257053333333335</v>
      </c>
    </row>
    <row r="515" spans="1:218">
      <c r="A515" t="s">
        <v>1245</v>
      </c>
      <c r="C515" t="s">
        <v>1156</v>
      </c>
      <c r="E515" s="81" t="s">
        <v>129</v>
      </c>
      <c r="F515" s="81" t="s">
        <v>767</v>
      </c>
      <c r="GX515" s="81">
        <v>8.3917829897621754</v>
      </c>
      <c r="GY515" s="81">
        <v>1.2572299659070105</v>
      </c>
      <c r="GZ515" s="81">
        <v>1.7560962804866609</v>
      </c>
      <c r="HA515" s="81">
        <v>0.13000902264410874</v>
      </c>
      <c r="HB515" s="81">
        <v>15.664198768254503</v>
      </c>
      <c r="HC515" s="81">
        <v>70.713760000000022</v>
      </c>
      <c r="HE515" s="81">
        <v>170.03365333333332</v>
      </c>
      <c r="HF515" s="81">
        <v>79.066086999999982</v>
      </c>
      <c r="HG515" s="81">
        <v>193.61118666666667</v>
      </c>
      <c r="HH515" s="81">
        <v>21.579725333333332</v>
      </c>
      <c r="HI515" s="81">
        <v>112.57704000000001</v>
      </c>
      <c r="HJ515" s="81">
        <v>25.318480000000005</v>
      </c>
    </row>
    <row r="516" spans="1:218">
      <c r="A516" t="s">
        <v>1246</v>
      </c>
      <c r="C516" t="s">
        <v>1157</v>
      </c>
      <c r="E516" s="81" t="s">
        <v>129</v>
      </c>
      <c r="F516" s="81" t="s">
        <v>767</v>
      </c>
      <c r="GX516" s="81">
        <v>9.4300373655588086</v>
      </c>
      <c r="GY516" s="81">
        <v>0.8603550631835688</v>
      </c>
      <c r="GZ516" s="81">
        <v>1.9696274224118806</v>
      </c>
      <c r="HA516" s="81">
        <v>0.18488758282430526</v>
      </c>
      <c r="HB516" s="81">
        <v>18.276149905034892</v>
      </c>
      <c r="HC516" s="81">
        <v>72.687100000000001</v>
      </c>
      <c r="HE516" s="81">
        <v>134.97620400000002</v>
      </c>
      <c r="HF516" s="81">
        <v>107.18197699999997</v>
      </c>
      <c r="HG516" s="81">
        <v>179.94227733333332</v>
      </c>
      <c r="HH516" s="81">
        <v>15.225383666666666</v>
      </c>
      <c r="HI516" s="81">
        <v>108.11827999999998</v>
      </c>
      <c r="HJ516" s="81">
        <v>33.629508000000001</v>
      </c>
    </row>
    <row r="517" spans="1:218">
      <c r="A517" t="s">
        <v>1247</v>
      </c>
      <c r="C517" t="s">
        <v>1158</v>
      </c>
      <c r="E517" s="81" t="s">
        <v>129</v>
      </c>
      <c r="F517" s="81" t="s">
        <v>767</v>
      </c>
      <c r="GX517" s="81">
        <v>10.535425724320165</v>
      </c>
      <c r="GY517" s="81">
        <v>0.52092906976280506</v>
      </c>
      <c r="GZ517" s="81">
        <v>1.6248721490446447</v>
      </c>
      <c r="HA517" s="81">
        <v>0.15909185245213567</v>
      </c>
      <c r="HB517" s="81">
        <v>14.300222116578936</v>
      </c>
      <c r="HC517" s="81">
        <v>75.179739999999995</v>
      </c>
      <c r="HE517" s="81">
        <v>81.138521333333344</v>
      </c>
      <c r="HF517" s="81">
        <v>86.811847999999998</v>
      </c>
      <c r="HG517" s="81">
        <v>188.70841600000003</v>
      </c>
      <c r="HH517" s="81">
        <v>11.372968333333333</v>
      </c>
      <c r="HI517" s="81">
        <v>86.647840000000016</v>
      </c>
      <c r="HJ517" s="81">
        <v>25.158770666666669</v>
      </c>
    </row>
    <row r="518" spans="1:218">
      <c r="A518" t="s">
        <v>1248</v>
      </c>
      <c r="C518" t="s">
        <v>1159</v>
      </c>
      <c r="E518" s="81" t="s">
        <v>129</v>
      </c>
      <c r="F518" s="81" t="s">
        <v>767</v>
      </c>
      <c r="GX518" s="81">
        <v>9.8214034518181492</v>
      </c>
      <c r="GY518" s="81">
        <v>0.46842963857235859</v>
      </c>
      <c r="GZ518" s="81">
        <v>1.8183701535526771</v>
      </c>
      <c r="HA518" s="81">
        <v>0.16220397676857787</v>
      </c>
      <c r="HB518" s="81">
        <v>14.772528957406493</v>
      </c>
      <c r="HC518" s="81">
        <v>66.394915000000012</v>
      </c>
      <c r="HE518" s="81">
        <v>95.800789333333341</v>
      </c>
      <c r="HF518" s="81">
        <v>77.495449666666659</v>
      </c>
      <c r="HG518" s="81">
        <v>194.78433600000002</v>
      </c>
      <c r="HH518" s="81">
        <v>9.6274383333333322</v>
      </c>
      <c r="HI518" s="81">
        <v>99.63900000000001</v>
      </c>
      <c r="HJ518" s="81">
        <v>28.325315333333332</v>
      </c>
    </row>
    <row r="519" spans="1:218">
      <c r="A519" t="s">
        <v>1249</v>
      </c>
      <c r="C519" t="s">
        <v>1160</v>
      </c>
      <c r="E519" s="81" t="s">
        <v>129</v>
      </c>
      <c r="F519" s="81" t="s">
        <v>767</v>
      </c>
      <c r="GX519" s="81">
        <v>9.8833782570366981</v>
      </c>
      <c r="GY519" s="81">
        <v>0.41613591759347318</v>
      </c>
      <c r="GZ519" s="81">
        <v>1.8955928048361921</v>
      </c>
      <c r="HA519" s="81">
        <v>0.17261312498212597</v>
      </c>
      <c r="HB519" s="81">
        <v>15.21743200058733</v>
      </c>
      <c r="HC519" s="81">
        <v>78.370550000000009</v>
      </c>
      <c r="HE519" s="81">
        <v>123.02376399999999</v>
      </c>
      <c r="HF519" s="81">
        <v>73.394752666666648</v>
      </c>
      <c r="HG519" s="81">
        <v>198.13564533333337</v>
      </c>
      <c r="HH519" s="81">
        <v>7.8788460000000002</v>
      </c>
      <c r="HI519" s="81">
        <v>101.85676000000001</v>
      </c>
      <c r="HJ519" s="81">
        <v>29.117719333333337</v>
      </c>
    </row>
    <row r="520" spans="1:218">
      <c r="A520" t="s">
        <v>1250</v>
      </c>
      <c r="C520" t="s">
        <v>1161</v>
      </c>
      <c r="E520" s="81" t="s">
        <v>129</v>
      </c>
      <c r="F520" s="81" t="s">
        <v>767</v>
      </c>
      <c r="GX520" s="81">
        <v>9.0989041057804325</v>
      </c>
      <c r="GY520" s="81">
        <v>0.65872100323212213</v>
      </c>
      <c r="GZ520" s="81">
        <v>2.090492292851108</v>
      </c>
      <c r="HA520" s="81">
        <v>0.1559848744627351</v>
      </c>
      <c r="HB520" s="81">
        <v>16.539554627342302</v>
      </c>
      <c r="HC520" s="81">
        <v>84.850260000000006</v>
      </c>
      <c r="HE520" s="81">
        <v>109.16744933333335</v>
      </c>
      <c r="HF520" s="81">
        <v>121.07322699999999</v>
      </c>
      <c r="HG520" s="81">
        <v>183.22098133333336</v>
      </c>
      <c r="HH520" s="81">
        <v>14.695599999999999</v>
      </c>
      <c r="HI520" s="81">
        <v>89.493080000000006</v>
      </c>
      <c r="HJ520" s="81">
        <v>28.380599333333333</v>
      </c>
    </row>
    <row r="521" spans="1:218">
      <c r="A521" t="s">
        <v>1251</v>
      </c>
      <c r="C521" t="s">
        <v>1162</v>
      </c>
      <c r="E521" s="81" t="s">
        <v>129</v>
      </c>
      <c r="F521" s="81" t="s">
        <v>767</v>
      </c>
      <c r="GX521" s="81">
        <v>10.194965055037898</v>
      </c>
      <c r="GY521" s="81">
        <v>0.3267133872209525</v>
      </c>
      <c r="GZ521" s="81">
        <v>2.1796525804343285</v>
      </c>
      <c r="HA521" s="81">
        <v>0.17791618107456011</v>
      </c>
      <c r="HB521" s="81">
        <v>14.731370892627586</v>
      </c>
      <c r="HC521" s="81">
        <v>72.880395000000007</v>
      </c>
      <c r="HE521" s="81">
        <v>94.176717333333329</v>
      </c>
      <c r="HF521" s="81">
        <v>73.88002033333332</v>
      </c>
      <c r="HG521" s="81">
        <v>202.55310666666665</v>
      </c>
      <c r="HI521" s="81">
        <v>101.90656</v>
      </c>
      <c r="HJ521" s="81">
        <v>27.456128000000003</v>
      </c>
    </row>
    <row r="522" spans="1:218">
      <c r="A522" t="s">
        <v>1252</v>
      </c>
      <c r="C522" t="s">
        <v>1163</v>
      </c>
      <c r="E522" s="81" t="s">
        <v>129</v>
      </c>
      <c r="F522" s="81" t="s">
        <v>767</v>
      </c>
      <c r="GX522" s="81">
        <v>7.6953707662658069</v>
      </c>
      <c r="GY522" s="81">
        <v>0.9131702181053124</v>
      </c>
      <c r="GZ522" s="81">
        <v>1.6163631420385649</v>
      </c>
      <c r="HA522" s="81">
        <v>0.14097912050519354</v>
      </c>
      <c r="HB522" s="81">
        <v>15.4821053488188</v>
      </c>
      <c r="HC522" s="81">
        <v>82.103740000000002</v>
      </c>
      <c r="HE522" s="81">
        <v>91.993040000000008</v>
      </c>
      <c r="HF522" s="81">
        <v>95.828195333333326</v>
      </c>
      <c r="HG522" s="81">
        <v>173.55682933333333</v>
      </c>
      <c r="HH522" s="81">
        <v>23.561055</v>
      </c>
      <c r="HI522" s="81">
        <v>104.80824</v>
      </c>
      <c r="HJ522" s="81">
        <v>26.184595999999999</v>
      </c>
    </row>
    <row r="523" spans="1:218">
      <c r="A523" t="s">
        <v>1253</v>
      </c>
      <c r="C523" t="s">
        <v>1164</v>
      </c>
      <c r="E523" s="81" t="s">
        <v>129</v>
      </c>
      <c r="F523" s="81" t="s">
        <v>767</v>
      </c>
      <c r="GX523" s="81">
        <v>9.5298295903794301</v>
      </c>
      <c r="GY523" s="81">
        <v>0.35391837432059559</v>
      </c>
      <c r="GZ523" s="81">
        <v>2.0614376741422484</v>
      </c>
      <c r="HA523" s="81">
        <v>0.17941516578741049</v>
      </c>
      <c r="HB523" s="81">
        <v>15.265953930550415</v>
      </c>
      <c r="HC523" s="81">
        <v>72.790959999999998</v>
      </c>
      <c r="HE523" s="81">
        <v>52.765922666666661</v>
      </c>
      <c r="HF523" s="81">
        <v>84.767055999999982</v>
      </c>
      <c r="HG523" s="81">
        <v>195.38810666666666</v>
      </c>
      <c r="HI523" s="81">
        <v>110.79088</v>
      </c>
      <c r="HJ523" s="81">
        <v>29.510850000000001</v>
      </c>
    </row>
    <row r="524" spans="1:218">
      <c r="A524" t="s">
        <v>1254</v>
      </c>
      <c r="C524" t="s">
        <v>1165</v>
      </c>
      <c r="E524" s="81" t="s">
        <v>129</v>
      </c>
      <c r="F524" s="81" t="s">
        <v>767</v>
      </c>
      <c r="GX524" s="81">
        <v>8.8154839565548659</v>
      </c>
      <c r="GY524" s="81">
        <v>0.89098064187801651</v>
      </c>
      <c r="GZ524" s="81">
        <v>1.6367540445230535</v>
      </c>
      <c r="HA524" s="81">
        <v>0.14336467701294142</v>
      </c>
      <c r="HB524" s="81">
        <v>15.562922374358328</v>
      </c>
      <c r="HC524" s="81">
        <v>65.840995000000007</v>
      </c>
      <c r="HE524" s="81">
        <v>56.001901333333336</v>
      </c>
      <c r="HF524" s="81">
        <v>63.159679666666669</v>
      </c>
      <c r="HG524" s="81">
        <v>198.80437866666668</v>
      </c>
      <c r="HH524" s="81">
        <v>22.253438666666668</v>
      </c>
      <c r="HI524" s="81">
        <v>98.835559999999987</v>
      </c>
      <c r="HJ524" s="81">
        <v>23.555534666666663</v>
      </c>
    </row>
    <row r="525" spans="1:218">
      <c r="A525" t="s">
        <v>1255</v>
      </c>
      <c r="C525" t="s">
        <v>1166</v>
      </c>
      <c r="E525" s="81" t="s">
        <v>129</v>
      </c>
      <c r="F525" s="81" t="s">
        <v>767</v>
      </c>
      <c r="GX525" s="81">
        <v>8.5309447685330859</v>
      </c>
      <c r="GZ525" s="81">
        <v>2.1109457615635825</v>
      </c>
      <c r="HA525" s="81">
        <v>0.19169289856497995</v>
      </c>
      <c r="HB525" s="81">
        <v>16.402242963887396</v>
      </c>
      <c r="HC525" s="81">
        <v>67.528720000000007</v>
      </c>
      <c r="HE525" s="81">
        <v>70.147142666666682</v>
      </c>
      <c r="HF525" s="81">
        <v>80.755262999999999</v>
      </c>
      <c r="HG525" s="81">
        <v>203.45494133333332</v>
      </c>
      <c r="HI525" s="81">
        <v>119.11412</v>
      </c>
      <c r="HJ525" s="81">
        <v>34.231489333333336</v>
      </c>
    </row>
    <row r="526" spans="1:218">
      <c r="A526" t="s">
        <v>1256</v>
      </c>
      <c r="C526" t="s">
        <v>1167</v>
      </c>
      <c r="E526" s="81" t="s">
        <v>129</v>
      </c>
      <c r="F526" s="81" t="s">
        <v>767</v>
      </c>
      <c r="GX526" s="81">
        <v>8.096705977789135</v>
      </c>
      <c r="GZ526" s="81">
        <v>1.7123238098199594</v>
      </c>
      <c r="HA526" s="81">
        <v>0.16142033151451282</v>
      </c>
      <c r="HB526" s="81">
        <v>16.358634845332602</v>
      </c>
      <c r="HC526" s="81">
        <v>72.352440000000001</v>
      </c>
      <c r="HE526" s="81">
        <v>49.791498666666662</v>
      </c>
      <c r="HF526" s="81">
        <v>95.620752666666647</v>
      </c>
      <c r="HG526" s="81">
        <v>191.42156266666666</v>
      </c>
      <c r="HI526" s="81">
        <v>102.91584</v>
      </c>
      <c r="HJ526" s="81">
        <v>28.847442000000001</v>
      </c>
    </row>
    <row r="527" spans="1:218">
      <c r="A527" t="s">
        <v>1293</v>
      </c>
      <c r="C527" t="s">
        <v>1257</v>
      </c>
      <c r="E527" s="81" t="s">
        <v>129</v>
      </c>
      <c r="F527" s="81" t="s">
        <v>767</v>
      </c>
      <c r="GX527" s="81">
        <v>4.9773352644832585</v>
      </c>
      <c r="GY527" s="81">
        <v>0.89824544859546107</v>
      </c>
      <c r="GZ527" s="81">
        <v>1.7227538908269262</v>
      </c>
      <c r="HA527" s="81">
        <v>0.37120760007831577</v>
      </c>
      <c r="HB527" s="81">
        <v>12.925605086204717</v>
      </c>
      <c r="HC527" s="81">
        <v>32.934685000000002</v>
      </c>
      <c r="HE527" s="81">
        <v>92.142115000000004</v>
      </c>
      <c r="HF527" s="81">
        <v>157.27349999999998</v>
      </c>
      <c r="HG527" s="81">
        <v>142.22192500000003</v>
      </c>
      <c r="HI527" s="81">
        <v>109.860788</v>
      </c>
      <c r="HJ527" s="81">
        <v>31.880298666666665</v>
      </c>
    </row>
    <row r="528" spans="1:218">
      <c r="A528" t="s">
        <v>1294</v>
      </c>
      <c r="C528" t="s">
        <v>1258</v>
      </c>
      <c r="E528" s="81" t="s">
        <v>129</v>
      </c>
      <c r="F528" s="81" t="s">
        <v>767</v>
      </c>
      <c r="GX528" s="81">
        <v>3.6882701641882627</v>
      </c>
      <c r="GY528" s="81">
        <v>3.2598882010779526</v>
      </c>
      <c r="GZ528" s="81">
        <v>1.8951999281531637</v>
      </c>
      <c r="HA528" s="81">
        <v>0.4279044918449702</v>
      </c>
      <c r="HB528" s="81">
        <v>10.822743012832447</v>
      </c>
      <c r="HC528" s="81">
        <v>42.270544999999998</v>
      </c>
      <c r="HE528" s="81">
        <v>104.07475833333335</v>
      </c>
      <c r="HF528" s="81">
        <v>98.160887999999986</v>
      </c>
      <c r="HG528" s="81">
        <v>111.33963999999999</v>
      </c>
      <c r="HH528" s="81">
        <v>22.601848666666665</v>
      </c>
      <c r="HI528" s="81">
        <v>118.72343866666665</v>
      </c>
      <c r="HJ528" s="81">
        <v>31.118511999999999</v>
      </c>
    </row>
    <row r="529" spans="1:218">
      <c r="A529" t="s">
        <v>1295</v>
      </c>
      <c r="C529" t="s">
        <v>1259</v>
      </c>
      <c r="E529" s="81" t="s">
        <v>129</v>
      </c>
      <c r="F529" s="81" t="s">
        <v>767</v>
      </c>
      <c r="GX529" s="81">
        <v>3.7001494160775636</v>
      </c>
      <c r="GY529" s="81">
        <v>2.8419056601196875</v>
      </c>
      <c r="GZ529" s="81">
        <v>2.1940562055571688</v>
      </c>
      <c r="HA529" s="81">
        <v>0.41004176241424584</v>
      </c>
      <c r="HB529" s="81">
        <v>10.935730412961675</v>
      </c>
      <c r="HC529" s="81">
        <v>28.237905000000001</v>
      </c>
      <c r="HE529" s="81">
        <v>111.02434666666669</v>
      </c>
      <c r="HF529" s="81">
        <v>105.297524</v>
      </c>
      <c r="HG529" s="81">
        <v>163.34447500000002</v>
      </c>
      <c r="HH529" s="81">
        <v>18.283733333333334</v>
      </c>
      <c r="HI529" s="81">
        <v>124.48942133333334</v>
      </c>
      <c r="HJ529" s="81">
        <v>38.391242666666663</v>
      </c>
    </row>
    <row r="530" spans="1:218">
      <c r="A530" t="s">
        <v>1296</v>
      </c>
      <c r="C530" t="s">
        <v>1260</v>
      </c>
      <c r="E530" s="81" t="s">
        <v>129</v>
      </c>
      <c r="F530" s="81" t="s">
        <v>767</v>
      </c>
      <c r="GX530" s="81">
        <v>2.3367888183143917</v>
      </c>
      <c r="GY530" s="81">
        <v>3.9260681368058363</v>
      </c>
      <c r="GZ530" s="81">
        <v>2.6836123078171807</v>
      </c>
      <c r="HA530" s="81">
        <v>0.56521982207557331</v>
      </c>
      <c r="HB530" s="81">
        <v>11.884691352950611</v>
      </c>
      <c r="HC530" s="81">
        <v>34.351219999999998</v>
      </c>
      <c r="HE530" s="81">
        <v>123.17295750000001</v>
      </c>
      <c r="HF530" s="81">
        <v>149.22309399999997</v>
      </c>
      <c r="HG530" s="81">
        <v>317.68362999999999</v>
      </c>
      <c r="HH530" s="81">
        <v>25.425939</v>
      </c>
      <c r="HI530" s="81">
        <v>139.35802999999999</v>
      </c>
      <c r="HJ530" s="81">
        <v>38.198463999999994</v>
      </c>
    </row>
    <row r="531" spans="1:218">
      <c r="A531" t="s">
        <v>1297</v>
      </c>
      <c r="C531" t="s">
        <v>1261</v>
      </c>
      <c r="E531" s="81" t="s">
        <v>129</v>
      </c>
      <c r="F531" s="81" t="s">
        <v>767</v>
      </c>
      <c r="GX531" s="81">
        <v>1.020252609017551</v>
      </c>
      <c r="GY531" s="81">
        <v>0.49675583717583977</v>
      </c>
      <c r="GZ531" s="81">
        <v>1.2242428117769026</v>
      </c>
      <c r="HA531" s="81">
        <v>9.1565592078388547E-2</v>
      </c>
      <c r="HB531" s="81">
        <v>11.787210478110469</v>
      </c>
      <c r="HE531" s="81">
        <v>31.418375000000001</v>
      </c>
      <c r="HF531" s="81">
        <v>37.102592000000001</v>
      </c>
      <c r="HG531" s="81">
        <v>43.67521</v>
      </c>
      <c r="HI531" s="81">
        <v>88.105215999999999</v>
      </c>
      <c r="HJ531" s="81">
        <v>17.288197333333333</v>
      </c>
    </row>
    <row r="532" spans="1:218">
      <c r="A532" t="s">
        <v>1298</v>
      </c>
      <c r="C532" t="s">
        <v>1262</v>
      </c>
      <c r="E532" s="81" t="s">
        <v>129</v>
      </c>
      <c r="F532" s="81" t="s">
        <v>767</v>
      </c>
      <c r="GX532" s="81">
        <v>5.9176144974717753</v>
      </c>
      <c r="GY532" s="81">
        <v>1.4386013908032822</v>
      </c>
      <c r="GZ532" s="81">
        <v>1.1409398326705245</v>
      </c>
      <c r="HA532" s="81">
        <v>0.28882695800456254</v>
      </c>
      <c r="HB532" s="81">
        <v>9.3141823751146902</v>
      </c>
      <c r="HC532" s="81">
        <v>78.982170000000011</v>
      </c>
      <c r="HD532" s="81">
        <v>191.83530799999997</v>
      </c>
      <c r="HE532" s="81">
        <v>167.05298833333336</v>
      </c>
      <c r="HF532" s="81">
        <v>79.686120000000003</v>
      </c>
      <c r="HG532" s="81">
        <v>107.24653000000001</v>
      </c>
      <c r="HH532" s="81">
        <v>11.038861333333331</v>
      </c>
      <c r="HI532" s="81">
        <v>61.017589333333326</v>
      </c>
      <c r="HJ532" s="81">
        <v>18.920597333333333</v>
      </c>
    </row>
    <row r="533" spans="1:218">
      <c r="A533" t="s">
        <v>1299</v>
      </c>
      <c r="C533" t="s">
        <v>1263</v>
      </c>
      <c r="E533" s="81" t="s">
        <v>129</v>
      </c>
      <c r="F533" s="81" t="s">
        <v>767</v>
      </c>
      <c r="GX533" s="81">
        <v>4.4133130078030645</v>
      </c>
      <c r="GY533" s="81">
        <v>2.6785957789249344</v>
      </c>
      <c r="GZ533" s="81">
        <v>1.0882188158587855</v>
      </c>
      <c r="HA533" s="81">
        <v>0.30430392820779034</v>
      </c>
      <c r="HB533" s="81">
        <v>8.5773703620810284</v>
      </c>
      <c r="HC533" s="81">
        <v>85.909055000000009</v>
      </c>
      <c r="HD533" s="81">
        <v>229.59751999999995</v>
      </c>
      <c r="HE533" s="81">
        <v>143.4721466666667</v>
      </c>
      <c r="HF533" s="81">
        <v>57.663340000000005</v>
      </c>
      <c r="HG533" s="81">
        <v>101.4058</v>
      </c>
      <c r="HH533" s="81">
        <v>18.311315333333336</v>
      </c>
      <c r="HI533" s="81">
        <v>55.869625333333339</v>
      </c>
      <c r="HJ533" s="81">
        <v>17.779472000000002</v>
      </c>
    </row>
    <row r="534" spans="1:218">
      <c r="A534" t="s">
        <v>1300</v>
      </c>
      <c r="C534" t="s">
        <v>1264</v>
      </c>
      <c r="E534" s="81" t="s">
        <v>129</v>
      </c>
      <c r="F534" s="81" t="s">
        <v>767</v>
      </c>
      <c r="GX534" s="81">
        <v>3.730053036705788</v>
      </c>
      <c r="GY534" s="81">
        <v>2.6566102350624474</v>
      </c>
      <c r="GZ534" s="81">
        <v>1.1187696235121793</v>
      </c>
      <c r="HA534" s="81">
        <v>0.3157405345680378</v>
      </c>
      <c r="HB534" s="81">
        <v>7.9536699352839308</v>
      </c>
      <c r="HC534" s="81">
        <v>82.599959999999996</v>
      </c>
      <c r="HD534" s="81">
        <v>244.78970799999993</v>
      </c>
      <c r="HE534" s="81">
        <v>156.94290000000004</v>
      </c>
      <c r="HF534" s="81">
        <v>53.077876000000003</v>
      </c>
      <c r="HG534" s="81">
        <v>104.91746499999999</v>
      </c>
      <c r="HH534" s="81">
        <v>17.698381999999999</v>
      </c>
      <c r="HI534" s="81">
        <v>57.904484666666661</v>
      </c>
      <c r="HJ534" s="81">
        <v>18.783786666666668</v>
      </c>
    </row>
    <row r="535" spans="1:218">
      <c r="A535" t="s">
        <v>1301</v>
      </c>
      <c r="C535" t="s">
        <v>1265</v>
      </c>
      <c r="E535" s="81" t="s">
        <v>129</v>
      </c>
      <c r="F535" s="81" t="s">
        <v>767</v>
      </c>
      <c r="GX535" s="81">
        <v>5.2742706652699987</v>
      </c>
      <c r="GY535" s="81">
        <v>1.5470682888612373</v>
      </c>
      <c r="GZ535" s="81">
        <v>1.1218363731067853</v>
      </c>
      <c r="HA535" s="81">
        <v>0.25642799335308819</v>
      </c>
      <c r="HB535" s="81">
        <v>8.3683867410238193</v>
      </c>
      <c r="HC535" s="81">
        <v>82.741325000000003</v>
      </c>
      <c r="HD535" s="81">
        <v>242.89336799999998</v>
      </c>
      <c r="HE535" s="81">
        <v>167.31285166666669</v>
      </c>
      <c r="HF535" s="81">
        <v>53.771971999999998</v>
      </c>
      <c r="HG535" s="81">
        <v>112.48282</v>
      </c>
      <c r="HH535" s="81">
        <v>11.305487333333334</v>
      </c>
      <c r="HI535" s="81">
        <v>56.638861333333331</v>
      </c>
      <c r="HJ535" s="81">
        <v>20.105253333333334</v>
      </c>
    </row>
    <row r="536" spans="1:218">
      <c r="A536" t="s">
        <v>1302</v>
      </c>
      <c r="C536" t="s">
        <v>1266</v>
      </c>
      <c r="E536" s="81" t="s">
        <v>129</v>
      </c>
      <c r="F536" s="81" t="s">
        <v>767</v>
      </c>
      <c r="GX536" s="81">
        <v>7.398570134133494</v>
      </c>
      <c r="GY536" s="81">
        <v>0.75365063788540165</v>
      </c>
      <c r="GZ536" s="81">
        <v>1.0972038143939979</v>
      </c>
      <c r="HA536" s="81">
        <v>0.20156114873884234</v>
      </c>
      <c r="HB536" s="81">
        <v>9.3258742271502779</v>
      </c>
      <c r="HC536" s="81">
        <v>80.473715000000013</v>
      </c>
      <c r="HD536" s="81">
        <v>185.83858000000001</v>
      </c>
      <c r="HE536" s="81">
        <v>182.18124833333334</v>
      </c>
      <c r="HF536" s="81">
        <v>113.73743599999999</v>
      </c>
      <c r="HG536" s="81">
        <v>118.32355000000001</v>
      </c>
      <c r="HI536" s="81">
        <v>60.698718000000007</v>
      </c>
      <c r="HJ536" s="81">
        <v>23.541066666666666</v>
      </c>
    </row>
    <row r="537" spans="1:218">
      <c r="A537" t="s">
        <v>1303</v>
      </c>
      <c r="C537" t="s">
        <v>1267</v>
      </c>
      <c r="E537" s="81" t="s">
        <v>129</v>
      </c>
      <c r="F537" s="81" t="s">
        <v>767</v>
      </c>
      <c r="GX537" s="81">
        <v>7.1459122863126714</v>
      </c>
      <c r="GY537" s="81">
        <v>0.67468680969222083</v>
      </c>
      <c r="GZ537" s="81">
        <v>1.3150670877279753</v>
      </c>
      <c r="HA537" s="81">
        <v>0.18563779395274846</v>
      </c>
      <c r="HB537" s="81">
        <v>9.476713552794541</v>
      </c>
      <c r="HC537" s="81">
        <v>81.024750000000012</v>
      </c>
      <c r="HE537" s="81">
        <v>164.39465666666666</v>
      </c>
      <c r="HF537" s="81">
        <v>73.232503999999992</v>
      </c>
      <c r="HG537" s="81">
        <v>113.63257</v>
      </c>
      <c r="HI537" s="81">
        <v>64.281911333333326</v>
      </c>
      <c r="HJ537" s="81">
        <v>22.452799999999996</v>
      </c>
    </row>
    <row r="538" spans="1:218">
      <c r="A538" t="s">
        <v>1304</v>
      </c>
      <c r="C538" t="s">
        <v>1268</v>
      </c>
      <c r="E538" s="81" t="s">
        <v>129</v>
      </c>
      <c r="F538" s="81" t="s">
        <v>767</v>
      </c>
      <c r="GX538" s="81">
        <v>6.9964780484951996</v>
      </c>
      <c r="GY538" s="81">
        <v>0.7831338376373943</v>
      </c>
      <c r="GZ538" s="81">
        <v>1.3926897260632582</v>
      </c>
      <c r="HA538" s="81">
        <v>0.21281064520133477</v>
      </c>
      <c r="HB538" s="81">
        <v>9.6655372691349974</v>
      </c>
      <c r="HC538" s="81">
        <v>74.700829999999996</v>
      </c>
      <c r="HE538" s="81">
        <v>151.67540000000002</v>
      </c>
      <c r="HF538" s="81">
        <v>83.725167999999996</v>
      </c>
      <c r="HG538" s="81">
        <v>111.75683500000001</v>
      </c>
      <c r="HI538" s="81">
        <v>70.889451333333341</v>
      </c>
      <c r="HJ538" s="81">
        <v>25.733146666666666</v>
      </c>
    </row>
    <row r="539" spans="1:218">
      <c r="A539" t="s">
        <v>1305</v>
      </c>
      <c r="C539" t="s">
        <v>1269</v>
      </c>
      <c r="E539" s="81" t="s">
        <v>129</v>
      </c>
      <c r="F539" s="81" t="s">
        <v>767</v>
      </c>
      <c r="GX539" s="81">
        <v>8.7337657520826983</v>
      </c>
      <c r="GZ539" s="81">
        <v>1.3487067364488581</v>
      </c>
      <c r="HA539" s="81">
        <v>0.24290595427559758</v>
      </c>
      <c r="HB539" s="81">
        <v>10.649929225465444</v>
      </c>
      <c r="HC539" s="81">
        <v>86.575490000000016</v>
      </c>
      <c r="HE539" s="81">
        <v>154.63573500000001</v>
      </c>
      <c r="HF539" s="81">
        <v>103.935176</v>
      </c>
      <c r="HG539" s="81">
        <v>113.29421500000001</v>
      </c>
      <c r="HI539" s="81">
        <v>68.039333333333332</v>
      </c>
      <c r="HJ539" s="81">
        <v>29.196943999999998</v>
      </c>
    </row>
    <row r="540" spans="1:218">
      <c r="A540" t="s">
        <v>1306</v>
      </c>
      <c r="C540" t="s">
        <v>1270</v>
      </c>
      <c r="E540" s="81" t="s">
        <v>129</v>
      </c>
      <c r="F540" s="81" t="s">
        <v>767</v>
      </c>
      <c r="GX540" s="81">
        <v>7.2717211200443037</v>
      </c>
      <c r="GZ540" s="81">
        <v>1.1583609416070046</v>
      </c>
      <c r="HA540" s="81">
        <v>0.18176725502851596</v>
      </c>
      <c r="HB540" s="81">
        <v>10.5810318529964</v>
      </c>
      <c r="HC540" s="81">
        <v>68.991415000000003</v>
      </c>
      <c r="HE540" s="81">
        <v>145.51242500000004</v>
      </c>
      <c r="HF540" s="81">
        <v>66.310003999999992</v>
      </c>
      <c r="HG540" s="81">
        <v>105.82412500000002</v>
      </c>
      <c r="HI540" s="81">
        <v>61.579723333333334</v>
      </c>
      <c r="HJ540" s="81">
        <v>26.199546666666663</v>
      </c>
    </row>
    <row r="541" spans="1:218">
      <c r="A541" t="s">
        <v>1307</v>
      </c>
      <c r="C541" t="s">
        <v>1271</v>
      </c>
      <c r="E541" s="81" t="s">
        <v>129</v>
      </c>
      <c r="F541" s="81" t="s">
        <v>767</v>
      </c>
      <c r="GX541" s="81">
        <v>8.2999563017270077</v>
      </c>
      <c r="GZ541" s="81">
        <v>1.3568041109325837</v>
      </c>
      <c r="HA541" s="81">
        <v>0.21491811626681226</v>
      </c>
      <c r="HB541" s="81">
        <v>10.315932309612679</v>
      </c>
      <c r="HC541" s="81">
        <v>88.745009999999994</v>
      </c>
      <c r="HE541" s="81">
        <v>145.86008000000001</v>
      </c>
      <c r="HF541" s="81">
        <v>83.562719999999999</v>
      </c>
      <c r="HG541" s="81">
        <v>107.39764000000001</v>
      </c>
      <c r="HI541" s="81">
        <v>65.961738666666676</v>
      </c>
      <c r="HJ541" s="81">
        <v>26.215093333333332</v>
      </c>
    </row>
    <row r="542" spans="1:218">
      <c r="A542" t="s">
        <v>1308</v>
      </c>
      <c r="C542" t="s">
        <v>1272</v>
      </c>
      <c r="E542" s="81" t="s">
        <v>129</v>
      </c>
      <c r="F542" s="81" t="s">
        <v>767</v>
      </c>
      <c r="GX542" s="81">
        <v>7.8957133417432601</v>
      </c>
      <c r="GZ542" s="81">
        <v>1.4025119347759414</v>
      </c>
      <c r="HA542" s="81">
        <v>0.19193298330724426</v>
      </c>
      <c r="HB542" s="81">
        <v>10.662783387473716</v>
      </c>
      <c r="HC542" s="81">
        <v>73.281410000000008</v>
      </c>
      <c r="HE542" s="81">
        <v>153.76484166666668</v>
      </c>
      <c r="HF542" s="81">
        <v>87.055351999999985</v>
      </c>
      <c r="HG542" s="81">
        <v>107.41406500000001</v>
      </c>
      <c r="HI542" s="81">
        <v>64.278623999999994</v>
      </c>
      <c r="HJ542" s="81">
        <v>27.085706666666667</v>
      </c>
    </row>
    <row r="543" spans="1:218">
      <c r="A543" t="s">
        <v>1309</v>
      </c>
      <c r="C543" t="s">
        <v>1273</v>
      </c>
      <c r="E543" s="81" t="s">
        <v>129</v>
      </c>
      <c r="F543" s="81" t="s">
        <v>767</v>
      </c>
      <c r="GX543" s="81">
        <v>7.5972658616882534</v>
      </c>
      <c r="GZ543" s="81">
        <v>1.2164841732107192</v>
      </c>
      <c r="HA543" s="81">
        <v>0.15274750377298871</v>
      </c>
      <c r="HB543" s="81">
        <v>11.529052758146785</v>
      </c>
      <c r="HC543" s="81">
        <v>72.51400000000001</v>
      </c>
      <c r="HE543" s="81">
        <v>144.74688166666667</v>
      </c>
      <c r="HF543" s="81">
        <v>63.961891999999999</v>
      </c>
      <c r="HG543" s="81">
        <v>103.63303000000001</v>
      </c>
      <c r="HI543" s="81">
        <v>61.165519333333329</v>
      </c>
      <c r="HJ543" s="81">
        <v>27.353109333333336</v>
      </c>
    </row>
    <row r="544" spans="1:218">
      <c r="A544" t="s">
        <v>1310</v>
      </c>
      <c r="C544" t="s">
        <v>1274</v>
      </c>
      <c r="E544" s="81" t="s">
        <v>129</v>
      </c>
      <c r="F544" s="81" t="s">
        <v>767</v>
      </c>
      <c r="GX544" s="81">
        <v>6.5094633519884075</v>
      </c>
      <c r="GY544" s="81">
        <v>0.66752473792969003</v>
      </c>
      <c r="GZ544" s="81">
        <v>1.3649366051937133</v>
      </c>
      <c r="HA544" s="81">
        <v>0.17597073731838367</v>
      </c>
      <c r="HB544" s="81">
        <v>10.092981171097973</v>
      </c>
      <c r="HC544" s="81">
        <v>69.320305000000005</v>
      </c>
      <c r="HE544" s="81">
        <v>152.94662333333338</v>
      </c>
      <c r="HF544" s="81">
        <v>65.265168000000003</v>
      </c>
      <c r="HG544" s="81">
        <v>111.01771000000001</v>
      </c>
      <c r="HI544" s="81">
        <v>65.274685999999988</v>
      </c>
      <c r="HJ544" s="81">
        <v>21.70656</v>
      </c>
    </row>
    <row r="545" spans="1:218">
      <c r="A545" t="s">
        <v>1311</v>
      </c>
      <c r="C545" t="s">
        <v>1275</v>
      </c>
      <c r="E545" s="81" t="s">
        <v>129</v>
      </c>
      <c r="F545" s="81" t="s">
        <v>767</v>
      </c>
      <c r="GX545" s="81">
        <v>6.6947201829781529</v>
      </c>
      <c r="GY545" s="81">
        <v>0.58871103947752412</v>
      </c>
      <c r="GZ545" s="81">
        <v>1.2304488163130129</v>
      </c>
      <c r="HA545" s="81">
        <v>0.19382352788617885</v>
      </c>
      <c r="HB545" s="81">
        <v>10.163054172049767</v>
      </c>
      <c r="HC545" s="81">
        <v>80.692975000000004</v>
      </c>
      <c r="HE545" s="81">
        <v>148.17778000000001</v>
      </c>
      <c r="HF545" s="81">
        <v>63.337943999999993</v>
      </c>
      <c r="HG545" s="81">
        <v>107.93638</v>
      </c>
      <c r="HI545" s="81">
        <v>59.581024666666671</v>
      </c>
      <c r="HJ545" s="81">
        <v>20.316687999999999</v>
      </c>
    </row>
    <row r="546" spans="1:218">
      <c r="A546" t="s">
        <v>1312</v>
      </c>
      <c r="C546" t="s">
        <v>1276</v>
      </c>
      <c r="E546" s="81" t="s">
        <v>129</v>
      </c>
      <c r="F546" s="81" t="s">
        <v>767</v>
      </c>
      <c r="GX546" s="81">
        <v>7.766153099429677</v>
      </c>
      <c r="GZ546" s="81">
        <v>1.2442537210729208</v>
      </c>
      <c r="HA546" s="81">
        <v>0.19758819631399102</v>
      </c>
      <c r="HB546" s="81">
        <v>10.725643155367996</v>
      </c>
      <c r="HC546" s="81">
        <v>71.238830000000007</v>
      </c>
      <c r="HD546" s="81">
        <v>149.72582599999998</v>
      </c>
      <c r="HE546" s="81">
        <v>152.63408500000003</v>
      </c>
      <c r="HF546" s="81">
        <v>88.986267999999995</v>
      </c>
      <c r="HG546" s="81">
        <v>116.66791000000001</v>
      </c>
      <c r="HI546" s="81">
        <v>67.897977999999981</v>
      </c>
      <c r="HJ546" s="81">
        <v>22.630032</v>
      </c>
    </row>
    <row r="547" spans="1:218">
      <c r="A547" t="s">
        <v>1313</v>
      </c>
      <c r="C547" t="s">
        <v>1277</v>
      </c>
      <c r="E547" s="81" t="s">
        <v>129</v>
      </c>
      <c r="F547" s="81" t="s">
        <v>767</v>
      </c>
      <c r="GX547" s="81">
        <v>9.4491791041322877</v>
      </c>
      <c r="GZ547" s="81">
        <v>1.1386122977454718</v>
      </c>
      <c r="HA547" s="81">
        <v>0.26163379690564253</v>
      </c>
      <c r="HB547" s="81">
        <v>10.89709917462816</v>
      </c>
      <c r="HC547" s="81">
        <v>71.850450000000009</v>
      </c>
      <c r="HE547" s="81">
        <v>153.63842166666669</v>
      </c>
      <c r="HF547" s="81">
        <v>99.910895999999994</v>
      </c>
      <c r="HG547" s="81">
        <v>109.91723500000001</v>
      </c>
      <c r="HI547" s="81">
        <v>64.166854666666666</v>
      </c>
      <c r="HJ547" s="81">
        <v>27.36554666666667</v>
      </c>
    </row>
    <row r="548" spans="1:218">
      <c r="A548" t="s">
        <v>1314</v>
      </c>
      <c r="C548" t="s">
        <v>1278</v>
      </c>
      <c r="E548" s="81" t="s">
        <v>129</v>
      </c>
      <c r="F548" s="81" t="s">
        <v>767</v>
      </c>
      <c r="GX548" s="81">
        <v>7.9466325276540637</v>
      </c>
      <c r="GZ548" s="81">
        <v>1.3652679772869618</v>
      </c>
      <c r="HA548" s="81">
        <v>0.20359386227011281</v>
      </c>
      <c r="HB548" s="81">
        <v>10.822674260523749</v>
      </c>
      <c r="HC548" s="81">
        <v>67.159440000000004</v>
      </c>
      <c r="HE548" s="81">
        <v>158.48803333333336</v>
      </c>
      <c r="HF548" s="81">
        <v>99.32386799999999</v>
      </c>
      <c r="HG548" s="81">
        <v>116.920855</v>
      </c>
      <c r="HI548" s="81">
        <v>68.502847333333321</v>
      </c>
      <c r="HJ548" s="81">
        <v>24.361930666666666</v>
      </c>
    </row>
    <row r="549" spans="1:218">
      <c r="A549" t="s">
        <v>1315</v>
      </c>
      <c r="C549" t="s">
        <v>1279</v>
      </c>
      <c r="E549" s="81" t="s">
        <v>129</v>
      </c>
      <c r="F549" s="81" t="s">
        <v>767</v>
      </c>
      <c r="GX549" s="81">
        <v>9.2954502107109871</v>
      </c>
      <c r="GZ549" s="81">
        <v>1.1910483912018195</v>
      </c>
      <c r="HA549" s="81">
        <v>0.25808519071542285</v>
      </c>
      <c r="HB549" s="81">
        <v>10.683278054740674</v>
      </c>
      <c r="HC549" s="81">
        <v>69.470325000000003</v>
      </c>
      <c r="HE549" s="81">
        <v>147.01893000000004</v>
      </c>
      <c r="HF549" s="81">
        <v>128.49805199999997</v>
      </c>
      <c r="HG549" s="81">
        <v>111.94079500000002</v>
      </c>
      <c r="HI549" s="81">
        <v>65.27139866666667</v>
      </c>
      <c r="HJ549" s="81">
        <v>29.753514666666664</v>
      </c>
    </row>
    <row r="550" spans="1:218">
      <c r="A550" t="s">
        <v>1316</v>
      </c>
      <c r="C550" t="s">
        <v>1280</v>
      </c>
      <c r="E550" s="81" t="s">
        <v>129</v>
      </c>
      <c r="F550" s="81" t="s">
        <v>767</v>
      </c>
      <c r="GX550" s="81">
        <v>5.513566806002804</v>
      </c>
      <c r="GY550" s="81">
        <v>0.6024596856620289</v>
      </c>
      <c r="GZ550" s="81">
        <v>0.98985398383024847</v>
      </c>
      <c r="HA550" s="81">
        <v>0.1195586155808761</v>
      </c>
      <c r="HB550" s="81">
        <v>12.370468709165381</v>
      </c>
      <c r="HC550" s="81">
        <v>60.630685000000007</v>
      </c>
      <c r="HE550" s="81">
        <v>111.60728333333334</v>
      </c>
      <c r="HF550" s="81">
        <v>56.175463999999998</v>
      </c>
      <c r="HG550" s="81">
        <v>96.061104999999998</v>
      </c>
      <c r="HI550" s="81">
        <v>55.626362666666665</v>
      </c>
      <c r="HJ550" s="81">
        <v>22.026821333333331</v>
      </c>
    </row>
    <row r="551" spans="1:218">
      <c r="A551" t="s">
        <v>1317</v>
      </c>
      <c r="C551" t="s">
        <v>1281</v>
      </c>
      <c r="E551" s="81" t="s">
        <v>129</v>
      </c>
      <c r="F551" s="81" t="s">
        <v>767</v>
      </c>
      <c r="GX551" s="81">
        <v>7.2332273537275915</v>
      </c>
      <c r="GZ551" s="81">
        <v>1.27010470948242</v>
      </c>
      <c r="HA551" s="81">
        <v>0.21296621001240137</v>
      </c>
      <c r="HB551" s="81">
        <v>10.431384354022798</v>
      </c>
      <c r="HC551" s="81">
        <v>59.274735</v>
      </c>
      <c r="HE551" s="81">
        <v>135.71487500000003</v>
      </c>
      <c r="HF551" s="81">
        <v>46.328899999999997</v>
      </c>
      <c r="HG551" s="81">
        <v>107.27609500000001</v>
      </c>
      <c r="HI551" s="81">
        <v>52.375189999999996</v>
      </c>
      <c r="HJ551" s="81">
        <v>20.677370666666665</v>
      </c>
    </row>
    <row r="552" spans="1:218">
      <c r="A552" t="s">
        <v>1318</v>
      </c>
      <c r="C552" t="s">
        <v>1282</v>
      </c>
      <c r="E552" s="81" t="s">
        <v>129</v>
      </c>
      <c r="F552" s="81" t="s">
        <v>767</v>
      </c>
      <c r="GX552" s="81">
        <v>11.031520824004467</v>
      </c>
      <c r="GZ552" s="81">
        <v>1.4411153675192718</v>
      </c>
      <c r="HA552" s="81">
        <v>0.28042861882934106</v>
      </c>
      <c r="HB552" s="81">
        <v>9.232662294744669</v>
      </c>
      <c r="HC552" s="81">
        <v>63.385860000000001</v>
      </c>
      <c r="HE552" s="81">
        <v>141.66012666666668</v>
      </c>
      <c r="HF552" s="81">
        <v>68.654424000000006</v>
      </c>
      <c r="HG552" s="81">
        <v>107.40420999999999</v>
      </c>
      <c r="HI552" s="81">
        <v>56.563252666666664</v>
      </c>
      <c r="HJ552" s="81">
        <v>23.519301333333331</v>
      </c>
    </row>
    <row r="553" spans="1:218">
      <c r="A553" t="s">
        <v>1319</v>
      </c>
      <c r="C553" t="s">
        <v>1283</v>
      </c>
      <c r="E553" s="81" t="s">
        <v>129</v>
      </c>
      <c r="F553" s="81" t="s">
        <v>767</v>
      </c>
      <c r="GX553" s="81">
        <v>7.1874014215771993</v>
      </c>
      <c r="GZ553" s="81">
        <v>1.2010762205467229</v>
      </c>
      <c r="HA553" s="81">
        <v>0.17869225726309912</v>
      </c>
      <c r="HB553" s="81">
        <v>10.611896600165243</v>
      </c>
      <c r="HC553" s="81">
        <v>61.248075000000007</v>
      </c>
      <c r="HE553" s="81">
        <v>131.52896833333335</v>
      </c>
      <c r="HF553" s="81">
        <v>57.249835999999995</v>
      </c>
      <c r="HG553" s="81">
        <v>106.55996500000002</v>
      </c>
      <c r="HI553" s="81">
        <v>58.578387999999997</v>
      </c>
      <c r="HJ553" s="81">
        <v>21.321002666666669</v>
      </c>
    </row>
    <row r="554" spans="1:218">
      <c r="A554" t="s">
        <v>1320</v>
      </c>
      <c r="C554" t="s">
        <v>1284</v>
      </c>
      <c r="E554" s="81" t="s">
        <v>129</v>
      </c>
      <c r="F554" s="81" t="s">
        <v>767</v>
      </c>
      <c r="GX554" s="81">
        <v>10.848454087959295</v>
      </c>
      <c r="GZ554" s="81">
        <v>1.2365806161581567</v>
      </c>
      <c r="HA554" s="81">
        <v>0.28070172149765799</v>
      </c>
      <c r="HB554" s="81">
        <v>9.1602513553374365</v>
      </c>
      <c r="HC554" s="81">
        <v>74.588315000000009</v>
      </c>
      <c r="HD554" s="81">
        <v>185.37343999999999</v>
      </c>
      <c r="HE554" s="81">
        <v>133.44985000000003</v>
      </c>
      <c r="HF554" s="81">
        <v>50.172271999999992</v>
      </c>
      <c r="HG554" s="81">
        <v>138.52301500000002</v>
      </c>
      <c r="HI554" s="81">
        <v>58.765765999999992</v>
      </c>
      <c r="HJ554" s="81">
        <v>20.158111999999999</v>
      </c>
    </row>
    <row r="555" spans="1:218">
      <c r="A555" t="s">
        <v>1321</v>
      </c>
      <c r="C555" t="s">
        <v>1285</v>
      </c>
      <c r="E555" s="81" t="s">
        <v>129</v>
      </c>
      <c r="F555" s="81" t="s">
        <v>767</v>
      </c>
      <c r="GX555" s="81">
        <v>7.2086493897715949</v>
      </c>
      <c r="GZ555" s="81">
        <v>1.1351292088542209</v>
      </c>
      <c r="HA555" s="81">
        <v>0.16338640835204465</v>
      </c>
      <c r="HB555" s="81">
        <v>10.000988782262347</v>
      </c>
      <c r="HC555" s="81">
        <v>76.048125000000013</v>
      </c>
      <c r="HD555" s="81">
        <v>158.624312</v>
      </c>
      <c r="HE555" s="81">
        <v>142.20443500000002</v>
      </c>
      <c r="HF555" s="81">
        <v>43.774035999999995</v>
      </c>
      <c r="HG555" s="81">
        <v>131.53582000000003</v>
      </c>
      <c r="HI555" s="81">
        <v>57.273316666666666</v>
      </c>
      <c r="HJ555" s="81">
        <v>17.316181333333333</v>
      </c>
    </row>
    <row r="556" spans="1:218">
      <c r="A556" t="s">
        <v>1322</v>
      </c>
      <c r="C556" t="s">
        <v>1286</v>
      </c>
      <c r="E556" s="81" t="s">
        <v>129</v>
      </c>
      <c r="F556" s="81" t="s">
        <v>767</v>
      </c>
      <c r="GX556" s="81">
        <v>9.1154965054109987</v>
      </c>
      <c r="GZ556" s="81">
        <v>1.1590667358432218</v>
      </c>
      <c r="HA556" s="81">
        <v>0.18794533865023663</v>
      </c>
      <c r="HB556" s="81">
        <v>9.3999265829326877</v>
      </c>
      <c r="HC556" s="81">
        <v>82.905770000000004</v>
      </c>
      <c r="HD556" s="81">
        <v>202.22581999999997</v>
      </c>
      <c r="HE556" s="81">
        <v>138.92102666666668</v>
      </c>
      <c r="HF556" s="81">
        <v>54.274083999999995</v>
      </c>
      <c r="HG556" s="81">
        <v>135.83259999999999</v>
      </c>
      <c r="HI556" s="81">
        <v>57.40809733333333</v>
      </c>
      <c r="HJ556" s="81">
        <v>21.038053333333334</v>
      </c>
    </row>
    <row r="557" spans="1:218">
      <c r="A557" t="s">
        <v>1323</v>
      </c>
      <c r="C557" t="s">
        <v>1287</v>
      </c>
      <c r="E557" s="81" t="s">
        <v>129</v>
      </c>
      <c r="F557" s="81" t="s">
        <v>767</v>
      </c>
      <c r="GX557" s="81">
        <v>9.3525779340146773</v>
      </c>
      <c r="GZ557" s="81">
        <v>1.1034675966284182</v>
      </c>
      <c r="HA557" s="81">
        <v>0.23652606852396552</v>
      </c>
      <c r="HB557" s="81">
        <v>10.062447586882019</v>
      </c>
      <c r="HC557" s="81">
        <v>81.676760000000002</v>
      </c>
      <c r="HD557" s="81">
        <v>225.819152</v>
      </c>
      <c r="HE557" s="81">
        <v>125.63990333333335</v>
      </c>
      <c r="HF557" s="81">
        <v>56.943399999999997</v>
      </c>
      <c r="HG557" s="81">
        <v>136.06583500000002</v>
      </c>
      <c r="HI557" s="81">
        <v>54.14706266666667</v>
      </c>
      <c r="HJ557" s="81">
        <v>18.622101333333333</v>
      </c>
    </row>
    <row r="558" spans="1:218">
      <c r="A558" t="s">
        <v>1324</v>
      </c>
      <c r="C558" t="s">
        <v>1288</v>
      </c>
      <c r="E558" s="81" t="s">
        <v>129</v>
      </c>
      <c r="F558" s="81" t="s">
        <v>767</v>
      </c>
      <c r="GX558" s="81">
        <v>4.3102746525444973</v>
      </c>
      <c r="GY558" s="81">
        <v>0.41331056262035598</v>
      </c>
      <c r="GZ558" s="81">
        <v>1.6568657897287793</v>
      </c>
      <c r="HA558" s="81">
        <v>0.249790993538721</v>
      </c>
      <c r="HB558" s="81">
        <v>13.768351808350298</v>
      </c>
      <c r="HC558" s="81">
        <v>45.622915000000006</v>
      </c>
      <c r="HE558" s="81">
        <v>136.15032166666668</v>
      </c>
      <c r="HF558" s="81">
        <v>96.344423999999989</v>
      </c>
      <c r="HG558" s="81">
        <v>155.02028500000003</v>
      </c>
      <c r="HI558" s="81">
        <v>103.47349933333334</v>
      </c>
      <c r="HJ558" s="81">
        <v>24.296634666666666</v>
      </c>
    </row>
    <row r="559" spans="1:218">
      <c r="A559" t="s">
        <v>1325</v>
      </c>
      <c r="C559" t="s">
        <v>1289</v>
      </c>
      <c r="E559" s="81" t="s">
        <v>129</v>
      </c>
      <c r="F559" s="81" t="s">
        <v>767</v>
      </c>
      <c r="GX559" s="81">
        <v>6.1105118349627618</v>
      </c>
      <c r="GZ559" s="81">
        <v>1.614716958811707</v>
      </c>
      <c r="HA559" s="81">
        <v>0.24112516931336003</v>
      </c>
      <c r="HB559" s="81">
        <v>11.801507718681924</v>
      </c>
      <c r="HC559" s="81">
        <v>39.708665000000003</v>
      </c>
      <c r="HE559" s="81">
        <v>120.62875500000001</v>
      </c>
      <c r="HF559" s="81">
        <v>97.023752000000002</v>
      </c>
      <c r="HG559" s="81">
        <v>169.15564000000003</v>
      </c>
      <c r="HI559" s="81">
        <v>96.35642266666666</v>
      </c>
      <c r="HJ559" s="81">
        <v>26.529136000000005</v>
      </c>
    </row>
    <row r="560" spans="1:218">
      <c r="A560" t="s">
        <v>1326</v>
      </c>
      <c r="C560" t="s">
        <v>1290</v>
      </c>
      <c r="E560" s="81" t="s">
        <v>129</v>
      </c>
      <c r="F560" s="81" t="s">
        <v>767</v>
      </c>
      <c r="GX560" s="81">
        <v>6.4323932057525788</v>
      </c>
      <c r="GZ560" s="81">
        <v>1.6549710210930284</v>
      </c>
      <c r="HA560" s="81">
        <v>0.23643272963732553</v>
      </c>
      <c r="HB560" s="81">
        <v>12.008384495431253</v>
      </c>
      <c r="HC560" s="81">
        <v>42.977370000000008</v>
      </c>
      <c r="HE560" s="81">
        <v>132.54384000000002</v>
      </c>
      <c r="HF560" s="81">
        <v>89.975724</v>
      </c>
      <c r="HG560" s="81">
        <v>171.12992500000004</v>
      </c>
      <c r="HI560" s="81">
        <v>98.480039999999988</v>
      </c>
      <c r="HJ560" s="81">
        <v>31.245994666666665</v>
      </c>
    </row>
    <row r="561" spans="1:218">
      <c r="A561" t="s">
        <v>1327</v>
      </c>
      <c r="C561" t="s">
        <v>1291</v>
      </c>
      <c r="E561" s="81" t="s">
        <v>129</v>
      </c>
      <c r="F561" s="81" t="s">
        <v>767</v>
      </c>
      <c r="GX561" s="81">
        <v>4.2383344772257052</v>
      </c>
      <c r="GY561" s="81">
        <v>0.53157600203488886</v>
      </c>
      <c r="GZ561" s="81">
        <v>1.7876019933554952</v>
      </c>
      <c r="HA561" s="81">
        <v>9.9341672009343518E-2</v>
      </c>
      <c r="HB561" s="81">
        <v>12.614609237228644</v>
      </c>
      <c r="HC561" s="81">
        <v>26.05396</v>
      </c>
      <c r="HE561" s="81">
        <v>153.56467666666668</v>
      </c>
      <c r="HF561" s="81">
        <v>51.401707999999992</v>
      </c>
      <c r="HG561" s="81">
        <v>166.47179500000001</v>
      </c>
      <c r="HI561" s="81">
        <v>103.99618533333334</v>
      </c>
      <c r="HJ561" s="81">
        <v>24.834549333333332</v>
      </c>
    </row>
    <row r="562" spans="1:218">
      <c r="A562" t="s">
        <v>1328</v>
      </c>
      <c r="C562" t="s">
        <v>1292</v>
      </c>
      <c r="E562" s="81" t="s">
        <v>129</v>
      </c>
      <c r="F562" s="81" t="s">
        <v>767</v>
      </c>
      <c r="GX562" s="81">
        <v>6.4350514444441131</v>
      </c>
      <c r="GZ562" s="81">
        <v>1.5467675533591514</v>
      </c>
      <c r="HA562" s="81">
        <v>0.22956065410845772</v>
      </c>
      <c r="HB562" s="81">
        <v>12.201920084655731</v>
      </c>
      <c r="HC562" s="81">
        <v>45.4527</v>
      </c>
      <c r="HE562" s="81">
        <v>129.93116000000001</v>
      </c>
      <c r="HF562" s="81">
        <v>97.507403999999994</v>
      </c>
      <c r="HG562" s="81">
        <v>167.96647000000002</v>
      </c>
      <c r="HI562" s="81">
        <v>95.074362666666673</v>
      </c>
      <c r="HJ562" s="81">
        <v>28.062037333333333</v>
      </c>
    </row>
    <row r="563" spans="1:218">
      <c r="A563" s="81" t="s">
        <v>1365</v>
      </c>
      <c r="C563" s="81" t="s">
        <v>1329</v>
      </c>
      <c r="E563" s="81" t="s">
        <v>129</v>
      </c>
      <c r="F563" s="81" t="s">
        <v>767</v>
      </c>
      <c r="GX563" s="81">
        <v>12.070455301679489</v>
      </c>
      <c r="GZ563" s="81">
        <v>0.85443042281613624</v>
      </c>
      <c r="HA563" s="81">
        <v>0.1488462840110181</v>
      </c>
      <c r="HB563" s="81">
        <v>8.6618194347854516</v>
      </c>
      <c r="HC563" s="81">
        <v>90.161545000000004</v>
      </c>
      <c r="HE563" s="81">
        <v>163.02159500000002</v>
      </c>
      <c r="HF563" s="81">
        <v>76.474080000000001</v>
      </c>
      <c r="HG563" s="81">
        <v>77.425299999999993</v>
      </c>
      <c r="HI563" s="81">
        <v>49.018822666666665</v>
      </c>
      <c r="HJ563" s="81">
        <v>23.845781333333335</v>
      </c>
    </row>
    <row r="564" spans="1:218">
      <c r="A564" s="81" t="s">
        <v>1366</v>
      </c>
      <c r="C564" s="81" t="s">
        <v>1330</v>
      </c>
      <c r="E564" s="81" t="s">
        <v>129</v>
      </c>
      <c r="F564" s="81" t="s">
        <v>767</v>
      </c>
      <c r="GX564" s="81">
        <v>11.097179444857543</v>
      </c>
      <c r="GZ564" s="81">
        <v>0.82417813327067702</v>
      </c>
      <c r="HA564" s="81">
        <v>0.12543334782101687</v>
      </c>
      <c r="HB564" s="81">
        <v>8.718197047836691</v>
      </c>
      <c r="HC564" s="81">
        <v>78.832150000000013</v>
      </c>
      <c r="HE564" s="81">
        <v>163.70988166666669</v>
      </c>
      <c r="HF564" s="81">
        <v>90.961487999999989</v>
      </c>
      <c r="HG564" s="81">
        <v>79.422579999999996</v>
      </c>
      <c r="HI564" s="81">
        <v>49.26865999999999</v>
      </c>
      <c r="HJ564" s="81">
        <v>28.497343999999998</v>
      </c>
    </row>
    <row r="565" spans="1:218">
      <c r="A565" s="81" t="s">
        <v>1367</v>
      </c>
      <c r="C565" s="81" t="s">
        <v>1331</v>
      </c>
      <c r="E565" s="81" t="s">
        <v>129</v>
      </c>
      <c r="F565" s="81" t="s">
        <v>767</v>
      </c>
      <c r="GX565" s="81">
        <v>8.9285056232515743</v>
      </c>
      <c r="GZ565" s="81">
        <v>0.83460984005572725</v>
      </c>
      <c r="HA565" s="81">
        <v>0.10071928483623345</v>
      </c>
      <c r="HB565" s="81">
        <v>8.6448289755036694</v>
      </c>
      <c r="HC565" s="81">
        <v>82.089314999999999</v>
      </c>
      <c r="HE565" s="81">
        <v>163.84332500000002</v>
      </c>
      <c r="HF565" s="81">
        <v>90.773195999999984</v>
      </c>
      <c r="HG565" s="81">
        <v>75.398454999999998</v>
      </c>
      <c r="HI565" s="81">
        <v>50.557294666666671</v>
      </c>
      <c r="HJ565" s="81">
        <v>30.882202666666668</v>
      </c>
    </row>
    <row r="566" spans="1:218">
      <c r="A566" s="81" t="s">
        <v>1368</v>
      </c>
      <c r="C566" s="81" t="s">
        <v>1332</v>
      </c>
      <c r="E566" s="81" t="s">
        <v>129</v>
      </c>
      <c r="F566" s="81" t="s">
        <v>767</v>
      </c>
      <c r="GX566" s="81">
        <v>8.0531669403598727</v>
      </c>
      <c r="GZ566" s="81">
        <v>0.86550334876282198</v>
      </c>
      <c r="HA566" s="81">
        <v>8.7699374398907903E-2</v>
      </c>
      <c r="HB566" s="81">
        <v>8.7073457017739244</v>
      </c>
      <c r="HC566" s="81">
        <v>77.25694</v>
      </c>
      <c r="HE566" s="81">
        <v>147.41926000000004</v>
      </c>
      <c r="HF566" s="81">
        <v>74.705611999999988</v>
      </c>
      <c r="HG566" s="81">
        <v>75.181645000000003</v>
      </c>
      <c r="HI566" s="81">
        <v>48.196989333333335</v>
      </c>
      <c r="HJ566" s="81">
        <v>22.959621333333331</v>
      </c>
    </row>
    <row r="567" spans="1:218">
      <c r="A567" s="81" t="s">
        <v>1369</v>
      </c>
      <c r="C567" s="81" t="s">
        <v>1333</v>
      </c>
      <c r="E567" s="81" t="s">
        <v>129</v>
      </c>
      <c r="F567" s="81" t="s">
        <v>767</v>
      </c>
      <c r="GX567" s="81">
        <v>8.0158589713059687</v>
      </c>
      <c r="GZ567" s="81">
        <v>0.79048920357182395</v>
      </c>
      <c r="HA567" s="81">
        <v>8.9265825621453687E-2</v>
      </c>
      <c r="HB567" s="81">
        <v>9.2529942602130344</v>
      </c>
      <c r="HC567" s="81">
        <v>71.031109999999998</v>
      </c>
      <c r="HE567" s="81">
        <v>162.62477666666669</v>
      </c>
      <c r="HF567" s="81">
        <v>59.930227999999993</v>
      </c>
      <c r="HG567" s="81">
        <v>72.767170000000007</v>
      </c>
      <c r="HI567" s="81">
        <v>46.727551333333331</v>
      </c>
      <c r="HJ567" s="81">
        <v>23.550394666666666</v>
      </c>
    </row>
    <row r="568" spans="1:218">
      <c r="A568" s="81" t="s">
        <v>1370</v>
      </c>
      <c r="C568" s="81" t="s">
        <v>1334</v>
      </c>
      <c r="E568" s="81" t="s">
        <v>129</v>
      </c>
      <c r="F568" s="81" t="s">
        <v>767</v>
      </c>
      <c r="GX568" s="81">
        <v>8.7995278485589896</v>
      </c>
      <c r="GZ568" s="81">
        <v>0.79535499208635374</v>
      </c>
      <c r="HA568" s="81">
        <v>0.10378434373872103</v>
      </c>
      <c r="HB568" s="81">
        <v>9.6043909095621807</v>
      </c>
      <c r="HC568" s="81">
        <v>73.018874999999994</v>
      </c>
      <c r="HE568" s="81">
        <v>153.11167166666669</v>
      </c>
      <c r="HF568" s="81">
        <v>64.534151999999992</v>
      </c>
      <c r="HG568" s="81">
        <v>70.306704999999994</v>
      </c>
      <c r="HI568" s="81">
        <v>46.267324666666667</v>
      </c>
      <c r="HJ568" s="81">
        <v>23.323413333333331</v>
      </c>
    </row>
    <row r="569" spans="1:218">
      <c r="A569" s="81" t="s">
        <v>1371</v>
      </c>
      <c r="C569" s="81" t="s">
        <v>1335</v>
      </c>
      <c r="E569" s="81" t="s">
        <v>129</v>
      </c>
      <c r="F569" s="81" t="s">
        <v>767</v>
      </c>
      <c r="GX569" s="81">
        <v>10.415862562378456</v>
      </c>
      <c r="GZ569" s="81">
        <v>0.77394382327835454</v>
      </c>
      <c r="HA569" s="81">
        <v>0.13146839824145126</v>
      </c>
      <c r="HB569" s="81">
        <v>9.4455010845251692</v>
      </c>
      <c r="HC569" s="81">
        <v>80.326579999999993</v>
      </c>
      <c r="HE569" s="81">
        <v>148.73262333333335</v>
      </c>
      <c r="HF569" s="81">
        <v>76.141799999999989</v>
      </c>
      <c r="HG569" s="81">
        <v>70.372405000000001</v>
      </c>
      <c r="HI569" s="81">
        <v>44.347521999999998</v>
      </c>
      <c r="HJ569" s="81">
        <v>23.059120000000004</v>
      </c>
    </row>
    <row r="570" spans="1:218">
      <c r="A570" s="81" t="s">
        <v>1372</v>
      </c>
      <c r="C570" s="81" t="s">
        <v>1336</v>
      </c>
      <c r="E570" s="81" t="s">
        <v>129</v>
      </c>
      <c r="F570" s="81" t="s">
        <v>767</v>
      </c>
      <c r="GX570" s="81">
        <v>10.618461574026659</v>
      </c>
      <c r="GZ570" s="81">
        <v>0.79757603478314909</v>
      </c>
      <c r="HA570" s="81">
        <v>0.14267684287880111</v>
      </c>
      <c r="HB570" s="81">
        <v>9.5217754717295069</v>
      </c>
      <c r="HC570" s="81">
        <v>77.190584999999999</v>
      </c>
      <c r="HE570" s="81">
        <v>153.3961166666667</v>
      </c>
      <c r="HF570" s="81">
        <v>84.112827999999993</v>
      </c>
      <c r="HG570" s="81">
        <v>69.620139999999992</v>
      </c>
      <c r="HI570" s="81">
        <v>47.046422666666672</v>
      </c>
      <c r="HJ570" s="81">
        <v>25.195232000000001</v>
      </c>
    </row>
    <row r="571" spans="1:218">
      <c r="A571" s="81" t="s">
        <v>1373</v>
      </c>
      <c r="C571" s="81" t="s">
        <v>1337</v>
      </c>
      <c r="E571" s="81" t="s">
        <v>129</v>
      </c>
      <c r="F571" s="81" t="s">
        <v>767</v>
      </c>
      <c r="GX571" s="81">
        <v>9.228169776360188</v>
      </c>
      <c r="GZ571" s="81">
        <v>0.87863757906391671</v>
      </c>
      <c r="HA571" s="81">
        <v>0.10922435875682562</v>
      </c>
      <c r="HB571" s="81">
        <v>8.5519478460912151</v>
      </c>
      <c r="HC571" s="81">
        <v>76.472220000000007</v>
      </c>
      <c r="HE571" s="81">
        <v>165.71504333333334</v>
      </c>
      <c r="HF571" s="81">
        <v>83.130756000000005</v>
      </c>
      <c r="HG571" s="81">
        <v>73.746099999999998</v>
      </c>
      <c r="HI571" s="81">
        <v>49.321257333333335</v>
      </c>
      <c r="HJ571" s="81">
        <v>24.346384</v>
      </c>
    </row>
    <row r="572" spans="1:218">
      <c r="A572" s="81" t="s">
        <v>1374</v>
      </c>
      <c r="C572" s="81" t="s">
        <v>1338</v>
      </c>
      <c r="E572" s="81" t="s">
        <v>129</v>
      </c>
      <c r="F572" s="81" t="s">
        <v>767</v>
      </c>
      <c r="GX572" s="81">
        <v>9.0079423571280248</v>
      </c>
      <c r="GZ572" s="81">
        <v>0.81197967510299363</v>
      </c>
      <c r="HA572" s="81">
        <v>0.11738286884831935</v>
      </c>
      <c r="HB572" s="81">
        <v>9.2096295514116147</v>
      </c>
      <c r="HC572" s="81">
        <v>68.368254999999991</v>
      </c>
      <c r="HE572" s="81">
        <v>161.8873266666667</v>
      </c>
      <c r="HF572" s="81">
        <v>84.238355999999996</v>
      </c>
      <c r="HG572" s="81">
        <v>77.093514999999996</v>
      </c>
      <c r="HI572" s="81">
        <v>51.68484999999999</v>
      </c>
      <c r="HJ572" s="81">
        <v>23.177274666666666</v>
      </c>
    </row>
    <row r="573" spans="1:218">
      <c r="A573" s="81" t="s">
        <v>1375</v>
      </c>
      <c r="C573" s="81" t="s">
        <v>1339</v>
      </c>
      <c r="E573" s="81" t="s">
        <v>129</v>
      </c>
      <c r="F573" s="81" t="s">
        <v>767</v>
      </c>
      <c r="GX573" s="81">
        <v>10.366398711039318</v>
      </c>
      <c r="GZ573" s="81">
        <v>0.86804953262461604</v>
      </c>
      <c r="HA573" s="81">
        <v>0.14523761251874767</v>
      </c>
      <c r="HB573" s="81">
        <v>8.6073125324582964</v>
      </c>
      <c r="HC573" s="81">
        <v>69.389544999999998</v>
      </c>
      <c r="HE573" s="81">
        <v>158.72682666666671</v>
      </c>
      <c r="HF573" s="81">
        <v>75.36648000000001</v>
      </c>
      <c r="HG573" s="81">
        <v>72.313839999999985</v>
      </c>
      <c r="HI573" s="81">
        <v>47.37844333333333</v>
      </c>
      <c r="HJ573" s="81">
        <v>26.942677333333332</v>
      </c>
    </row>
    <row r="574" spans="1:218">
      <c r="A574" s="81" t="s">
        <v>1376</v>
      </c>
      <c r="C574" s="81" t="s">
        <v>1340</v>
      </c>
      <c r="E574" s="81" t="s">
        <v>129</v>
      </c>
      <c r="F574" s="81" t="s">
        <v>767</v>
      </c>
      <c r="GX574" s="81">
        <v>11.010372159029123</v>
      </c>
      <c r="GZ574" s="81">
        <v>0.80133838254956447</v>
      </c>
      <c r="HA574" s="81">
        <v>0.14708105552988712</v>
      </c>
      <c r="HB574" s="81">
        <v>8.7484023487776099</v>
      </c>
      <c r="HC574" s="81">
        <v>87.91413</v>
      </c>
      <c r="HE574" s="81">
        <v>167.62187833333334</v>
      </c>
      <c r="HF574" s="81">
        <v>75.731987999999987</v>
      </c>
      <c r="HG574" s="81">
        <v>75.542995000000005</v>
      </c>
      <c r="HI574" s="81">
        <v>49.682863999999995</v>
      </c>
      <c r="HJ574" s="81">
        <v>24.536053333333331</v>
      </c>
    </row>
    <row r="575" spans="1:218">
      <c r="A575" s="81" t="s">
        <v>1377</v>
      </c>
      <c r="C575" s="81" t="s">
        <v>1341</v>
      </c>
      <c r="E575" s="81" t="s">
        <v>129</v>
      </c>
      <c r="F575" s="81" t="s">
        <v>767</v>
      </c>
      <c r="GX575" s="81">
        <v>8.4398641063620641</v>
      </c>
      <c r="GZ575" s="81">
        <v>0.82232075020442064</v>
      </c>
      <c r="HA575" s="81">
        <v>0.12756631423053028</v>
      </c>
      <c r="HB575" s="81">
        <v>9.600032157174665</v>
      </c>
      <c r="HC575" s="81">
        <v>51.467925000000008</v>
      </c>
      <c r="HE575" s="81">
        <v>91.225570000000005</v>
      </c>
      <c r="HF575" s="81">
        <v>62.518319999999996</v>
      </c>
      <c r="HG575" s="81">
        <v>75.405025000000009</v>
      </c>
      <c r="HI575" s="81">
        <v>52.233834666666667</v>
      </c>
      <c r="HJ575" s="81">
        <v>23.031136</v>
      </c>
    </row>
    <row r="576" spans="1:218">
      <c r="A576" s="81" t="s">
        <v>1378</v>
      </c>
      <c r="C576" s="81" t="s">
        <v>1342</v>
      </c>
      <c r="E576" s="81" t="s">
        <v>129</v>
      </c>
      <c r="F576" s="81" t="s">
        <v>767</v>
      </c>
      <c r="GX576" s="81">
        <v>7.1731647613364347</v>
      </c>
      <c r="GZ576" s="81">
        <v>0.71870154631781802</v>
      </c>
      <c r="HA576" s="81">
        <v>0.10043581118051205</v>
      </c>
      <c r="HB576" s="81">
        <v>10.571404010060661</v>
      </c>
      <c r="HC576" s="81">
        <v>60.723005000000001</v>
      </c>
      <c r="HE576" s="81">
        <v>80.690570000000022</v>
      </c>
      <c r="HF576" s="81">
        <v>62.149120000000003</v>
      </c>
      <c r="HG576" s="81">
        <v>72.126594999999995</v>
      </c>
      <c r="HI576" s="81">
        <v>53.999132666666668</v>
      </c>
      <c r="HJ576" s="81">
        <v>24.153605333333331</v>
      </c>
    </row>
    <row r="577" spans="1:218">
      <c r="A577" s="81" t="s">
        <v>1379</v>
      </c>
      <c r="C577" s="81" t="s">
        <v>1343</v>
      </c>
      <c r="E577" s="81" t="s">
        <v>129</v>
      </c>
      <c r="F577" s="81" t="s">
        <v>767</v>
      </c>
      <c r="GX577" s="81">
        <v>7.4535432279279847</v>
      </c>
      <c r="GZ577" s="81">
        <v>0.81466124004220031</v>
      </c>
      <c r="HA577" s="81">
        <v>0.11425644827035553</v>
      </c>
      <c r="HB577" s="81">
        <v>10.240690286917989</v>
      </c>
      <c r="HC577" s="81">
        <v>56.810945000000004</v>
      </c>
      <c r="HE577" s="81">
        <v>96.419325000000015</v>
      </c>
      <c r="HF577" s="81">
        <v>75.104348000000002</v>
      </c>
      <c r="HG577" s="81">
        <v>76.022604999999999</v>
      </c>
      <c r="HI577" s="81">
        <v>54.199660000000002</v>
      </c>
      <c r="HJ577" s="81">
        <v>27.779088000000002</v>
      </c>
    </row>
    <row r="578" spans="1:218">
      <c r="A578" s="81" t="s">
        <v>1380</v>
      </c>
      <c r="C578" s="81" t="s">
        <v>1344</v>
      </c>
      <c r="E578" s="81" t="s">
        <v>129</v>
      </c>
      <c r="F578" s="81" t="s">
        <v>767</v>
      </c>
      <c r="GX578" s="81">
        <v>10.188710621199231</v>
      </c>
      <c r="GZ578" s="81">
        <v>1.1077669371203018</v>
      </c>
      <c r="HA578" s="81">
        <v>0.12194048568809608</v>
      </c>
      <c r="HB578" s="81">
        <v>8.3348618914399353</v>
      </c>
      <c r="HC578" s="81">
        <v>58.016874999999999</v>
      </c>
      <c r="HE578" s="81">
        <v>94.814493333333346</v>
      </c>
      <c r="HF578" s="81">
        <v>68.676575999999997</v>
      </c>
      <c r="HG578" s="81">
        <v>91.672345000000007</v>
      </c>
      <c r="HI578" s="81">
        <v>61.944617333333326</v>
      </c>
      <c r="HJ578" s="81">
        <v>24.315290666666669</v>
      </c>
    </row>
    <row r="579" spans="1:218">
      <c r="A579" s="81" t="s">
        <v>1381</v>
      </c>
      <c r="C579" s="81" t="s">
        <v>1345</v>
      </c>
      <c r="E579" s="81" t="s">
        <v>129</v>
      </c>
      <c r="F579" s="81" t="s">
        <v>767</v>
      </c>
      <c r="GX579" s="81">
        <v>8.7066109113163233</v>
      </c>
      <c r="GZ579" s="81">
        <v>0.91433060186689141</v>
      </c>
      <c r="HA579" s="81">
        <v>0.13588687100021843</v>
      </c>
      <c r="HB579" s="81">
        <v>10.008279766621841</v>
      </c>
      <c r="HC579" s="81">
        <v>65.59288500000001</v>
      </c>
      <c r="HD579" s="81">
        <v>144.69157999999999</v>
      </c>
      <c r="HE579" s="81">
        <v>104.66120666666667</v>
      </c>
      <c r="HF579" s="81">
        <v>90.197243999999998</v>
      </c>
      <c r="HG579" s="81">
        <v>80.798995000000005</v>
      </c>
      <c r="HI579" s="81">
        <v>59.298313999999998</v>
      </c>
      <c r="HJ579" s="81">
        <v>28.058927999999998</v>
      </c>
    </row>
    <row r="580" spans="1:218">
      <c r="A580" s="81" t="s">
        <v>1382</v>
      </c>
      <c r="C580" s="81" t="s">
        <v>1346</v>
      </c>
      <c r="E580" s="81" t="s">
        <v>129</v>
      </c>
      <c r="F580" s="81" t="s">
        <v>767</v>
      </c>
      <c r="GX580" s="81">
        <v>7.3866908822441948</v>
      </c>
      <c r="GZ580" s="81">
        <v>0.90601854358258294</v>
      </c>
      <c r="HA580" s="81">
        <v>0.13325868994214293</v>
      </c>
      <c r="HB580" s="81">
        <v>11.091681526751543</v>
      </c>
      <c r="HC580" s="81">
        <v>36.113955000000004</v>
      </c>
      <c r="HE580" s="81">
        <v>80.694081666666662</v>
      </c>
      <c r="HF580" s="81">
        <v>85.021059999999991</v>
      </c>
      <c r="HG580" s="81">
        <v>79.537555000000012</v>
      </c>
      <c r="HI580" s="81">
        <v>56.790078666666659</v>
      </c>
      <c r="HJ580" s="81">
        <v>26.703258666666667</v>
      </c>
    </row>
    <row r="581" spans="1:218">
      <c r="A581" s="81" t="s">
        <v>1383</v>
      </c>
      <c r="C581" s="81" t="s">
        <v>1347</v>
      </c>
      <c r="E581" s="81" t="s">
        <v>129</v>
      </c>
      <c r="F581" s="81" t="s">
        <v>767</v>
      </c>
      <c r="GX581" s="81">
        <v>7.9628769487775282</v>
      </c>
      <c r="GZ581" s="81">
        <v>1.1895178486446296</v>
      </c>
      <c r="HA581" s="81">
        <v>0.13264204831605386</v>
      </c>
      <c r="HB581" s="81">
        <v>10.1202758376508</v>
      </c>
      <c r="HC581" s="81">
        <v>53.568204999999999</v>
      </c>
      <c r="HE581" s="81">
        <v>107.89194000000002</v>
      </c>
      <c r="HF581" s="81">
        <v>89.510531999999969</v>
      </c>
      <c r="HG581" s="81">
        <v>94.977055000000007</v>
      </c>
      <c r="HI581" s="81">
        <v>69.150452000000001</v>
      </c>
      <c r="HJ581" s="81">
        <v>26.401653333333332</v>
      </c>
    </row>
    <row r="582" spans="1:218">
      <c r="A582" s="81" t="s">
        <v>1384</v>
      </c>
      <c r="C582" s="81" t="s">
        <v>1348</v>
      </c>
      <c r="E582" s="81" t="s">
        <v>129</v>
      </c>
      <c r="F582" s="81" t="s">
        <v>767</v>
      </c>
      <c r="GX582" s="81">
        <v>5.3837679021711615</v>
      </c>
      <c r="GY582" s="81">
        <v>0.39635914862753491</v>
      </c>
      <c r="GZ582" s="81">
        <v>0.95447703902391012</v>
      </c>
      <c r="HA582" s="81">
        <v>8.6839878817764823E-2</v>
      </c>
      <c r="HB582" s="81">
        <v>10.10075126185996</v>
      </c>
      <c r="HC582" s="81">
        <v>43.424545000000002</v>
      </c>
      <c r="HE582" s="81">
        <v>61.134098333333334</v>
      </c>
      <c r="HF582" s="81">
        <v>74.100123999999994</v>
      </c>
      <c r="HG582" s="81">
        <v>85.519540000000006</v>
      </c>
      <c r="HI582" s="81">
        <v>76.323413333333335</v>
      </c>
      <c r="HJ582" s="81">
        <v>31.056325333333334</v>
      </c>
    </row>
    <row r="583" spans="1:218">
      <c r="A583" s="81" t="s">
        <v>1385</v>
      </c>
      <c r="C583" s="81" t="s">
        <v>1349</v>
      </c>
      <c r="E583" s="81" t="s">
        <v>129</v>
      </c>
      <c r="F583" s="81" t="s">
        <v>767</v>
      </c>
      <c r="GX583" s="81">
        <v>5.6137020024455317</v>
      </c>
      <c r="GZ583" s="81">
        <v>1.0386081651393966</v>
      </c>
      <c r="HA583" s="81">
        <v>6.5823504967139901E-2</v>
      </c>
      <c r="HB583" s="81">
        <v>10.575804517777017</v>
      </c>
      <c r="HC583" s="81">
        <v>36.595750000000002</v>
      </c>
      <c r="HE583" s="81">
        <v>78.35531166666668</v>
      </c>
      <c r="HF583" s="81">
        <v>54.598980000000005</v>
      </c>
      <c r="HG583" s="81">
        <v>86.380209999999991</v>
      </c>
      <c r="HI583" s="81">
        <v>68.48969799999999</v>
      </c>
      <c r="HJ583" s="81">
        <v>27.396640000000001</v>
      </c>
    </row>
    <row r="584" spans="1:218">
      <c r="A584" s="81" t="s">
        <v>1386</v>
      </c>
      <c r="C584" s="81" t="s">
        <v>1350</v>
      </c>
      <c r="E584" s="81" t="s">
        <v>129</v>
      </c>
      <c r="F584" s="81" t="s">
        <v>767</v>
      </c>
      <c r="GX584" s="81">
        <v>7.2194847061395926</v>
      </c>
      <c r="GZ584" s="81">
        <v>1.2548055148387718</v>
      </c>
      <c r="HA584" s="81">
        <v>0.12999744652792136</v>
      </c>
      <c r="HB584" s="81">
        <v>9.9057729540320363</v>
      </c>
      <c r="HC584" s="81">
        <v>52.916195000000009</v>
      </c>
      <c r="HE584" s="81">
        <v>81.428020000000018</v>
      </c>
      <c r="HF584" s="81">
        <v>63.068428000000004</v>
      </c>
      <c r="HG584" s="81">
        <v>88.039135000000002</v>
      </c>
      <c r="HI584" s="81">
        <v>76.073575999999989</v>
      </c>
      <c r="HJ584" s="81">
        <v>27.225626666666667</v>
      </c>
    </row>
    <row r="585" spans="1:218">
      <c r="A585" s="81" t="s">
        <v>1387</v>
      </c>
      <c r="C585" s="81" t="s">
        <v>1351</v>
      </c>
      <c r="E585" s="81" t="s">
        <v>129</v>
      </c>
      <c r="F585" s="81" t="s">
        <v>767</v>
      </c>
      <c r="GX585" s="81">
        <v>7.0679192042762322</v>
      </c>
      <c r="GZ585" s="81">
        <v>1.327354478235214</v>
      </c>
      <c r="HA585" s="81">
        <v>0.15404646994539495</v>
      </c>
      <c r="HB585" s="81">
        <v>10.575391643965105</v>
      </c>
      <c r="HC585" s="81">
        <v>48.297310000000003</v>
      </c>
      <c r="HE585" s="81">
        <v>71.700703333333351</v>
      </c>
      <c r="HF585" s="81">
        <v>98.356563999999992</v>
      </c>
      <c r="HG585" s="81">
        <v>84.721285000000009</v>
      </c>
      <c r="HI585" s="81">
        <v>84.203151333333338</v>
      </c>
      <c r="HJ585" s="81">
        <v>31.305071999999996</v>
      </c>
    </row>
    <row r="586" spans="1:218">
      <c r="A586" s="81" t="s">
        <v>1388</v>
      </c>
      <c r="C586" s="81" t="s">
        <v>1352</v>
      </c>
      <c r="E586" s="81" t="s">
        <v>129</v>
      </c>
      <c r="F586" s="81" t="s">
        <v>767</v>
      </c>
      <c r="GX586" s="81">
        <v>6.7763415876737669</v>
      </c>
      <c r="GZ586" s="81">
        <v>1.2186712290261557</v>
      </c>
      <c r="HA586" s="81">
        <v>0.10241623765028514</v>
      </c>
      <c r="HB586" s="81">
        <v>10.220695603717948</v>
      </c>
      <c r="HC586" s="81">
        <v>44.275620000000004</v>
      </c>
      <c r="HE586" s="81">
        <v>75.451163333333341</v>
      </c>
      <c r="HF586" s="81">
        <v>59.719783999999997</v>
      </c>
      <c r="HG586" s="81">
        <v>86.370355000000004</v>
      </c>
      <c r="HI586" s="81">
        <v>76.497641999999985</v>
      </c>
      <c r="HJ586" s="81">
        <v>29.224927999999995</v>
      </c>
    </row>
    <row r="587" spans="1:218">
      <c r="A587" s="81" t="s">
        <v>1389</v>
      </c>
      <c r="C587" s="81" t="s">
        <v>1353</v>
      </c>
      <c r="E587" s="81" t="s">
        <v>129</v>
      </c>
      <c r="F587" s="81" t="s">
        <v>767</v>
      </c>
      <c r="GX587" s="81">
        <v>7.0156389801278207</v>
      </c>
      <c r="GZ587" s="81">
        <v>1.1210195550581297</v>
      </c>
      <c r="HA587" s="81">
        <v>0.10264267087528212</v>
      </c>
      <c r="HB587" s="81">
        <v>10.042008713373429</v>
      </c>
      <c r="HC587" s="81">
        <v>46.762490000000007</v>
      </c>
      <c r="HE587" s="81">
        <v>72.929786666666686</v>
      </c>
      <c r="HF587" s="81">
        <v>55.91333199999999</v>
      </c>
      <c r="HG587" s="81">
        <v>84.488050000000015</v>
      </c>
      <c r="HI587" s="81">
        <v>67.796070666666665</v>
      </c>
      <c r="HJ587" s="81">
        <v>27.819509333333329</v>
      </c>
    </row>
    <row r="588" spans="1:218">
      <c r="A588" s="81" t="s">
        <v>1390</v>
      </c>
      <c r="C588" s="81" t="s">
        <v>1354</v>
      </c>
      <c r="E588" s="81" t="s">
        <v>129</v>
      </c>
      <c r="F588" s="81" t="s">
        <v>767</v>
      </c>
      <c r="GX588" s="81">
        <v>6.9518333239630365</v>
      </c>
      <c r="GZ588" s="81">
        <v>1.2181619922537967</v>
      </c>
      <c r="HA588" s="81">
        <v>0.10206275982958378</v>
      </c>
      <c r="HB588" s="81">
        <v>10.05559503347537</v>
      </c>
      <c r="HC588" s="81">
        <v>45.885449999999999</v>
      </c>
      <c r="HE588" s="81">
        <v>94.206975000000014</v>
      </c>
      <c r="HF588" s="81">
        <v>51.87797599999999</v>
      </c>
      <c r="HG588" s="81">
        <v>88.935940000000016</v>
      </c>
      <c r="HI588" s="81">
        <v>64.525174000000007</v>
      </c>
      <c r="HJ588" s="81">
        <v>28.749200000000002</v>
      </c>
    </row>
    <row r="589" spans="1:218">
      <c r="A589" s="81" t="s">
        <v>1391</v>
      </c>
      <c r="C589" s="81" t="s">
        <v>1355</v>
      </c>
      <c r="E589" s="81" t="s">
        <v>129</v>
      </c>
      <c r="F589" s="81" t="s">
        <v>767</v>
      </c>
      <c r="GX589" s="81">
        <v>6.7184766005546734</v>
      </c>
      <c r="GZ589" s="81">
        <v>1.1674377047218856</v>
      </c>
      <c r="HA589" s="81">
        <v>9.738674088360634E-2</v>
      </c>
      <c r="HB589" s="81">
        <v>10.357191253985411</v>
      </c>
      <c r="HC589" s="81">
        <v>43.750550000000004</v>
      </c>
      <c r="HE589" s="81">
        <v>78.994435000000024</v>
      </c>
      <c r="HF589" s="81">
        <v>67.144396</v>
      </c>
      <c r="HG589" s="81">
        <v>84.45848500000001</v>
      </c>
      <c r="HI589" s="81">
        <v>65.498224666666673</v>
      </c>
      <c r="HJ589" s="81">
        <v>26.351904000000001</v>
      </c>
    </row>
    <row r="590" spans="1:218">
      <c r="A590" s="81" t="s">
        <v>1392</v>
      </c>
      <c r="C590" s="81" t="s">
        <v>1356</v>
      </c>
      <c r="E590" s="81" t="s">
        <v>129</v>
      </c>
      <c r="F590" s="81" t="s">
        <v>767</v>
      </c>
      <c r="GX590" s="81">
        <v>6.6699089816295078</v>
      </c>
      <c r="GZ590" s="81">
        <v>1.058855283260858</v>
      </c>
      <c r="HA590" s="81">
        <v>8.8388612936828051E-2</v>
      </c>
      <c r="HB590" s="81">
        <v>9.9088153336818241</v>
      </c>
      <c r="HC590" s="81">
        <v>37.573765000000002</v>
      </c>
      <c r="HE590" s="81">
        <v>83.074991666666676</v>
      </c>
      <c r="HF590" s="81">
        <v>70.474579999999989</v>
      </c>
      <c r="HG590" s="81">
        <v>87.306579999999997</v>
      </c>
      <c r="HI590" s="81">
        <v>65.116894000000002</v>
      </c>
      <c r="HJ590" s="81">
        <v>25.527930666666666</v>
      </c>
    </row>
    <row r="591" spans="1:218">
      <c r="A591" s="81" t="s">
        <v>1393</v>
      </c>
      <c r="C591" s="81" t="s">
        <v>1357</v>
      </c>
      <c r="E591" s="81" t="s">
        <v>129</v>
      </c>
      <c r="F591" s="81" t="s">
        <v>767</v>
      </c>
      <c r="GX591" s="81">
        <v>7.5248704770753987</v>
      </c>
      <c r="GZ591" s="81">
        <v>1.0035308713370379</v>
      </c>
      <c r="HA591" s="81">
        <v>9.4721829245140152E-2</v>
      </c>
      <c r="HB591" s="81">
        <v>9.7711490943678534</v>
      </c>
      <c r="HC591" s="81">
        <v>32.147079999999995</v>
      </c>
      <c r="HE591" s="81">
        <v>65.572845000000015</v>
      </c>
      <c r="HF591" s="81">
        <v>60.214511999999992</v>
      </c>
      <c r="HG591" s="81">
        <v>89.172460000000001</v>
      </c>
      <c r="HI591" s="81">
        <v>55.123400666666669</v>
      </c>
      <c r="HJ591" s="81">
        <v>24.514287999999997</v>
      </c>
    </row>
    <row r="592" spans="1:218">
      <c r="A592" s="81" t="s">
        <v>1394</v>
      </c>
      <c r="C592" s="81" t="s">
        <v>1358</v>
      </c>
      <c r="E592" s="81" t="s">
        <v>129</v>
      </c>
      <c r="F592" s="81" t="s">
        <v>767</v>
      </c>
      <c r="GX592" s="81">
        <v>6.1841318201971305</v>
      </c>
      <c r="GZ592" s="81">
        <v>1.0874116274265149</v>
      </c>
      <c r="HA592" s="81">
        <v>0.10540913176541679</v>
      </c>
      <c r="HB592" s="81">
        <v>10.444197480621694</v>
      </c>
      <c r="HC592" s="81">
        <v>50.625505000000011</v>
      </c>
      <c r="HE592" s="81">
        <v>84.31812166666667</v>
      </c>
      <c r="HF592" s="81">
        <v>85.371800000000007</v>
      </c>
      <c r="HG592" s="81">
        <v>90.312355000000011</v>
      </c>
      <c r="HI592" s="81">
        <v>64.995262666666662</v>
      </c>
      <c r="HJ592" s="81">
        <v>23.174165333333335</v>
      </c>
    </row>
    <row r="593" spans="1:218">
      <c r="A593" s="81" t="s">
        <v>1395</v>
      </c>
      <c r="C593" s="81" t="s">
        <v>1359</v>
      </c>
      <c r="E593" s="81" t="s">
        <v>129</v>
      </c>
      <c r="F593" s="81" t="s">
        <v>767</v>
      </c>
      <c r="GX593" s="81">
        <v>7.1228902118686408</v>
      </c>
      <c r="GZ593" s="81">
        <v>1.4530810155496479</v>
      </c>
      <c r="HA593" s="81">
        <v>0.16694754615204466</v>
      </c>
      <c r="HB593" s="81">
        <v>11.741225262464466</v>
      </c>
      <c r="HC593" s="81">
        <v>32.328835000000005</v>
      </c>
      <c r="HE593" s="81">
        <v>67.198746666666679</v>
      </c>
      <c r="HF593" s="81">
        <v>96.252123999999995</v>
      </c>
      <c r="HG593" s="81">
        <v>103.67245000000001</v>
      </c>
      <c r="HI593" s="81">
        <v>84.249173999999996</v>
      </c>
      <c r="HJ593" s="81">
        <v>30.987919999999999</v>
      </c>
    </row>
    <row r="594" spans="1:218">
      <c r="A594" s="81" t="s">
        <v>1396</v>
      </c>
      <c r="C594" s="81" t="s">
        <v>1360</v>
      </c>
      <c r="E594" s="81" t="s">
        <v>129</v>
      </c>
      <c r="F594" s="81" t="s">
        <v>767</v>
      </c>
      <c r="GX594" s="81">
        <v>5.8526146992358603</v>
      </c>
      <c r="GZ594" s="81">
        <v>1.0517412625444458</v>
      </c>
      <c r="HA594" s="81">
        <v>0.14482623001837158</v>
      </c>
      <c r="HB594" s="81">
        <v>12.049327755119549</v>
      </c>
      <c r="HC594" s="81">
        <v>28.840869999999999</v>
      </c>
      <c r="HE594" s="81">
        <v>39.632163333333345</v>
      </c>
      <c r="HF594" s="81">
        <v>86.870751999999996</v>
      </c>
      <c r="HG594" s="81">
        <v>86.666004999999998</v>
      </c>
      <c r="HI594" s="81">
        <v>63.065598000000001</v>
      </c>
      <c r="HJ594" s="81">
        <v>25.736255999999997</v>
      </c>
    </row>
    <row r="595" spans="1:218">
      <c r="A595" s="81" t="s">
        <v>1397</v>
      </c>
      <c r="C595" s="81" t="s">
        <v>1361</v>
      </c>
      <c r="E595" s="81" t="s">
        <v>129</v>
      </c>
      <c r="F595" s="81" t="s">
        <v>767</v>
      </c>
      <c r="GX595" s="81">
        <v>9.3565851109717499</v>
      </c>
      <c r="GZ595" s="81">
        <v>0.97633003728957313</v>
      </c>
      <c r="HA595" s="81">
        <v>0.19072735602147797</v>
      </c>
      <c r="HB595" s="81">
        <v>11.381785672876928</v>
      </c>
      <c r="HC595" s="81">
        <v>47.134655000000002</v>
      </c>
      <c r="HE595" s="81">
        <v>168.37337500000001</v>
      </c>
      <c r="HF595" s="81">
        <v>105.74425599999999</v>
      </c>
      <c r="HG595" s="81">
        <v>86.652865000000006</v>
      </c>
      <c r="HI595" s="81">
        <v>58.808501333333332</v>
      </c>
      <c r="HJ595" s="81">
        <v>32.545696</v>
      </c>
    </row>
    <row r="596" spans="1:218">
      <c r="A596" s="81" t="s">
        <v>1398</v>
      </c>
      <c r="C596" s="81" t="s">
        <v>1362</v>
      </c>
      <c r="E596" s="81" t="s">
        <v>129</v>
      </c>
      <c r="F596" s="81" t="s">
        <v>767</v>
      </c>
      <c r="GX596" s="81">
        <v>9.1376565611551825</v>
      </c>
      <c r="GZ596" s="81">
        <v>0.9853983036841143</v>
      </c>
      <c r="HA596" s="81">
        <v>0.19375957346385145</v>
      </c>
      <c r="HB596" s="81">
        <v>11.498551570306658</v>
      </c>
      <c r="HC596" s="81">
        <v>50.230260000000008</v>
      </c>
      <c r="HE596" s="81">
        <v>163.66423000000003</v>
      </c>
      <c r="HF596" s="81">
        <v>101.35816</v>
      </c>
      <c r="HG596" s="81">
        <v>86.666004999999998</v>
      </c>
      <c r="HI596" s="81">
        <v>59.581024666666671</v>
      </c>
      <c r="HJ596" s="81">
        <v>31.87718933333333</v>
      </c>
    </row>
    <row r="597" spans="1:218">
      <c r="A597" s="81" t="s">
        <v>1399</v>
      </c>
      <c r="C597" s="81" t="s">
        <v>1363</v>
      </c>
      <c r="E597" s="81" t="s">
        <v>129</v>
      </c>
      <c r="F597" s="81" t="s">
        <v>767</v>
      </c>
      <c r="GX597" s="81">
        <v>10.277740963965103</v>
      </c>
      <c r="GZ597" s="81">
        <v>1.110276868308647</v>
      </c>
      <c r="HA597" s="81">
        <v>0.25904493917480886</v>
      </c>
      <c r="HB597" s="81">
        <v>10.552949954511007</v>
      </c>
      <c r="HC597" s="81">
        <v>60.552790000000009</v>
      </c>
      <c r="HE597" s="81">
        <v>161.93297833333335</v>
      </c>
      <c r="HF597" s="81">
        <v>96.071215999999993</v>
      </c>
      <c r="HG597" s="81">
        <v>87.746770000000012</v>
      </c>
      <c r="HI597" s="81">
        <v>62.914380666666666</v>
      </c>
      <c r="HJ597" s="81">
        <v>34.28381333333332</v>
      </c>
    </row>
    <row r="598" spans="1:218">
      <c r="A598" s="81" t="s">
        <v>1400</v>
      </c>
      <c r="C598" s="81" t="s">
        <v>1364</v>
      </c>
      <c r="E598" s="81" t="s">
        <v>129</v>
      </c>
      <c r="F598" s="81" t="s">
        <v>767</v>
      </c>
      <c r="GX598" s="81">
        <v>10.102933919198797</v>
      </c>
      <c r="GZ598" s="81">
        <v>0.99156522330666219</v>
      </c>
      <c r="HA598" s="81">
        <v>0.21932362529132388</v>
      </c>
      <c r="HB598" s="81">
        <v>11.565843162413925</v>
      </c>
      <c r="HC598" s="81">
        <v>49.162810000000007</v>
      </c>
      <c r="HE598" s="81">
        <v>163.28145833333335</v>
      </c>
      <c r="HF598" s="81">
        <v>92.944091999999998</v>
      </c>
      <c r="HG598" s="81">
        <v>86.012290000000007</v>
      </c>
      <c r="HI598" s="81">
        <v>61.168806666666661</v>
      </c>
      <c r="HJ598" s="81">
        <v>31.245994666666665</v>
      </c>
    </row>
    <row r="599" spans="1:218">
      <c r="A599" s="81" t="s">
        <v>1412</v>
      </c>
      <c r="C599" s="81" t="s">
        <v>1401</v>
      </c>
      <c r="E599" s="81" t="s">
        <v>129</v>
      </c>
      <c r="F599" s="81" t="s">
        <v>767</v>
      </c>
      <c r="GX599" s="81">
        <v>8.9623137796944903</v>
      </c>
      <c r="GZ599" s="81">
        <v>1.004093920671548</v>
      </c>
      <c r="HA599" s="81">
        <v>0.17249429591551993</v>
      </c>
      <c r="HB599" s="81">
        <v>11.15531196843075</v>
      </c>
      <c r="HC599" s="81">
        <v>41.592570000000002</v>
      </c>
      <c r="HE599" s="81">
        <v>164.73880000000005</v>
      </c>
      <c r="HF599" s="81">
        <v>98.17934799999999</v>
      </c>
      <c r="HG599" s="81">
        <v>86.524749999999997</v>
      </c>
      <c r="HI599" s="81">
        <v>61.602734666666663</v>
      </c>
      <c r="HJ599" s="81">
        <v>32.670069333333323</v>
      </c>
    </row>
    <row r="600" spans="1:218">
      <c r="A600" s="81" t="s">
        <v>1413</v>
      </c>
      <c r="C600" s="81" t="s">
        <v>1402</v>
      </c>
      <c r="E600" s="81" t="s">
        <v>129</v>
      </c>
      <c r="F600" s="81" t="s">
        <v>767</v>
      </c>
      <c r="GX600" s="81">
        <v>9.3007716949790549</v>
      </c>
      <c r="GZ600" s="81">
        <v>1.0167585655618694</v>
      </c>
      <c r="HA600" s="81">
        <v>0.20114155587343766</v>
      </c>
      <c r="HB600" s="81">
        <v>10.974338973832113</v>
      </c>
      <c r="HC600" s="81">
        <v>44.206380000000003</v>
      </c>
      <c r="HE600" s="81">
        <v>150.76236666666668</v>
      </c>
      <c r="HF600" s="81">
        <v>84.40818800000001</v>
      </c>
      <c r="HG600" s="81">
        <v>85.765915000000007</v>
      </c>
      <c r="HI600" s="81">
        <v>60.711867333333338</v>
      </c>
      <c r="HJ600" s="81">
        <v>33.832959999999993</v>
      </c>
    </row>
    <row r="601" spans="1:218">
      <c r="A601" s="81" t="s">
        <v>1414</v>
      </c>
      <c r="C601" s="81" t="s">
        <v>1403</v>
      </c>
      <c r="E601" s="81" t="s">
        <v>129</v>
      </c>
      <c r="F601" s="81" t="s">
        <v>767</v>
      </c>
      <c r="GX601" s="81">
        <v>8.8858507182642139</v>
      </c>
      <c r="GZ601" s="81">
        <v>1.0591736270495853</v>
      </c>
      <c r="HA601" s="81">
        <v>0.15887632520453823</v>
      </c>
      <c r="HB601" s="81">
        <v>10.680101770070804</v>
      </c>
      <c r="HC601" s="81">
        <v>49.157040000000002</v>
      </c>
      <c r="HE601" s="81">
        <v>148.81690333333336</v>
      </c>
      <c r="HF601" s="81">
        <v>70.932388000000003</v>
      </c>
      <c r="HG601" s="81">
        <v>84.576745000000003</v>
      </c>
      <c r="HI601" s="81">
        <v>59.712517999999996</v>
      </c>
      <c r="HJ601" s="81">
        <v>29.125429333333333</v>
      </c>
    </row>
    <row r="602" spans="1:218">
      <c r="A602" s="81" t="s">
        <v>1415</v>
      </c>
      <c r="C602" s="81" t="s">
        <v>1404</v>
      </c>
      <c r="E602" s="81" t="s">
        <v>129</v>
      </c>
      <c r="F602" s="81" t="s">
        <v>767</v>
      </c>
      <c r="GX602" s="81">
        <v>9.0281722587069222</v>
      </c>
      <c r="GZ602" s="81">
        <v>0.95004288390263625</v>
      </c>
      <c r="HA602" s="81">
        <v>0.18818689623186505</v>
      </c>
      <c r="HB602" s="81">
        <v>11.003285135632597</v>
      </c>
      <c r="HC602" s="81">
        <v>54.557760000000002</v>
      </c>
      <c r="HE602" s="81">
        <v>156.00528500000001</v>
      </c>
      <c r="HF602" s="81">
        <v>102.94202799999999</v>
      </c>
      <c r="HG602" s="81">
        <v>85.624659999999992</v>
      </c>
      <c r="HI602" s="81">
        <v>59.370635333333325</v>
      </c>
      <c r="HJ602" s="81">
        <v>32.387119999999996</v>
      </c>
    </row>
    <row r="603" spans="1:218">
      <c r="A603" s="81" t="s">
        <v>1416</v>
      </c>
      <c r="C603" s="81" t="s">
        <v>1405</v>
      </c>
      <c r="E603" s="81" t="s">
        <v>129</v>
      </c>
      <c r="F603" s="81" t="s">
        <v>767</v>
      </c>
      <c r="GX603" s="81">
        <v>9.3156596675094914</v>
      </c>
      <c r="GZ603" s="81">
        <v>1.1217955888491546</v>
      </c>
      <c r="HA603" s="81">
        <v>0.21739159676277151</v>
      </c>
      <c r="HB603" s="81">
        <v>11.370874573498748</v>
      </c>
      <c r="HC603" s="81">
        <v>63.062739999999998</v>
      </c>
      <c r="HE603" s="81">
        <v>152.98525166666667</v>
      </c>
      <c r="HF603" s="81">
        <v>96.11921199999999</v>
      </c>
      <c r="HG603" s="81">
        <v>90.338635000000011</v>
      </c>
      <c r="HI603" s="81">
        <v>63.930166666666672</v>
      </c>
      <c r="HJ603" s="81">
        <v>31.426336000000003</v>
      </c>
    </row>
    <row r="604" spans="1:218">
      <c r="A604" s="81" t="s">
        <v>1417</v>
      </c>
      <c r="C604" s="81" t="s">
        <v>1406</v>
      </c>
      <c r="E604" s="81" t="s">
        <v>129</v>
      </c>
      <c r="F604" s="81" t="s">
        <v>767</v>
      </c>
      <c r="GX604" s="81">
        <v>9.3832396804791163</v>
      </c>
      <c r="GZ604" s="81">
        <v>1.0160380436770635</v>
      </c>
      <c r="HA604" s="81">
        <v>0.21706188578820529</v>
      </c>
      <c r="HB604" s="81">
        <v>12.094095946913695</v>
      </c>
      <c r="HC604" s="81">
        <v>48.686785000000008</v>
      </c>
      <c r="HE604" s="81">
        <v>150.74129666666667</v>
      </c>
      <c r="HF604" s="81">
        <v>95.521107999999984</v>
      </c>
      <c r="HG604" s="81">
        <v>87.306580000000011</v>
      </c>
      <c r="HI604" s="81">
        <v>61.642182666666663</v>
      </c>
      <c r="HJ604" s="81">
        <v>31.833658666666665</v>
      </c>
    </row>
    <row r="605" spans="1:218">
      <c r="A605" s="81" t="s">
        <v>1418</v>
      </c>
      <c r="C605" s="81" t="s">
        <v>1407</v>
      </c>
      <c r="E605" s="81" t="s">
        <v>129</v>
      </c>
      <c r="F605" s="81" t="s">
        <v>767</v>
      </c>
      <c r="GX605" s="81">
        <v>8.1350069790335695</v>
      </c>
      <c r="GZ605" s="81">
        <v>0.87499984986248347</v>
      </c>
      <c r="HA605" s="81">
        <v>0.18001239753478945</v>
      </c>
      <c r="HB605" s="81">
        <v>12.487020070595198</v>
      </c>
      <c r="HC605" s="81">
        <v>42.38306</v>
      </c>
      <c r="HE605" s="81">
        <v>128.53351666666669</v>
      </c>
      <c r="HF605" s="81">
        <v>90.902415999999974</v>
      </c>
      <c r="HG605" s="81">
        <v>82.576180000000008</v>
      </c>
      <c r="HI605" s="81">
        <v>53.604652666666659</v>
      </c>
      <c r="HJ605" s="81">
        <v>32.722927999999996</v>
      </c>
    </row>
    <row r="606" spans="1:218">
      <c r="A606" s="81" t="s">
        <v>1419</v>
      </c>
      <c r="C606" s="81" t="s">
        <v>1408</v>
      </c>
      <c r="E606" s="81" t="s">
        <v>129</v>
      </c>
      <c r="F606" s="81" t="s">
        <v>767</v>
      </c>
      <c r="GX606" s="81">
        <v>9.9958107802657441</v>
      </c>
      <c r="GZ606" s="81">
        <v>1.0459810526021578</v>
      </c>
      <c r="HA606" s="81">
        <v>0.22124355433457099</v>
      </c>
      <c r="HB606" s="81">
        <v>12.264890000227815</v>
      </c>
      <c r="HC606" s="81">
        <v>46.064320000000009</v>
      </c>
      <c r="HE606" s="81">
        <v>162.71256833333334</v>
      </c>
      <c r="HF606" s="81">
        <v>103.31491999999999</v>
      </c>
      <c r="HG606" s="81">
        <v>85.499829999999989</v>
      </c>
      <c r="HI606" s="81">
        <v>61.043888000000003</v>
      </c>
      <c r="HJ606" s="81">
        <v>35.319221333333324</v>
      </c>
    </row>
    <row r="607" spans="1:218">
      <c r="A607" s="81" t="s">
        <v>1420</v>
      </c>
      <c r="C607" s="81" t="s">
        <v>1409</v>
      </c>
      <c r="E607" s="81" t="s">
        <v>129</v>
      </c>
      <c r="F607" s="81" t="s">
        <v>767</v>
      </c>
      <c r="GX607" s="81">
        <v>9.5668400670165923</v>
      </c>
      <c r="GZ607" s="81">
        <v>1.0502973865347212</v>
      </c>
      <c r="HA607" s="81">
        <v>0.21751043099344738</v>
      </c>
      <c r="HB607" s="81">
        <v>12.128377071893246</v>
      </c>
      <c r="HC607" s="81">
        <v>55.780999999999999</v>
      </c>
      <c r="HE607" s="81">
        <v>155.16950833333334</v>
      </c>
      <c r="HF607" s="81">
        <v>98.555931999999999</v>
      </c>
      <c r="HG607" s="81">
        <v>86.629869999999997</v>
      </c>
      <c r="HI607" s="81">
        <v>60.810487333333334</v>
      </c>
      <c r="HJ607" s="81">
        <v>31.880298666666665</v>
      </c>
    </row>
    <row r="608" spans="1:218">
      <c r="A608" s="81" t="s">
        <v>1421</v>
      </c>
      <c r="C608" s="81" t="s">
        <v>1410</v>
      </c>
      <c r="E608" s="81" t="s">
        <v>129</v>
      </c>
      <c r="F608" s="81" t="s">
        <v>767</v>
      </c>
      <c r="GX608" s="81">
        <v>9.2669735523061281</v>
      </c>
      <c r="GZ608" s="81">
        <v>1.0640954939183569</v>
      </c>
      <c r="HA608" s="81">
        <v>0.21446741043919426</v>
      </c>
      <c r="HB608" s="81">
        <v>11.591555445987517</v>
      </c>
      <c r="HC608" s="81">
        <v>47.855905000000007</v>
      </c>
      <c r="HE608" s="81">
        <v>148.72560000000001</v>
      </c>
      <c r="HF608" s="81">
        <v>92.249995999999967</v>
      </c>
      <c r="HG608" s="81">
        <v>88.469470000000001</v>
      </c>
      <c r="HI608" s="81">
        <v>61.980777999999994</v>
      </c>
      <c r="HJ608" s="81">
        <v>34.989631999999993</v>
      </c>
    </row>
    <row r="609" spans="1:218">
      <c r="A609" s="81" t="s">
        <v>1422</v>
      </c>
      <c r="C609" s="81" t="s">
        <v>1411</v>
      </c>
      <c r="E609" s="81" t="s">
        <v>129</v>
      </c>
      <c r="F609" s="81" t="s">
        <v>767</v>
      </c>
      <c r="GX609" s="81">
        <v>8.5000364329826787</v>
      </c>
      <c r="GZ609" s="81">
        <v>1.0897844781933794</v>
      </c>
      <c r="HA609" s="81">
        <v>0.20855897248998903</v>
      </c>
      <c r="HB609" s="81">
        <v>10.997444788990643</v>
      </c>
      <c r="HC609" s="81">
        <v>47.772240000000011</v>
      </c>
      <c r="HE609" s="81">
        <v>160.91459500000005</v>
      </c>
      <c r="HF609" s="81">
        <v>115.72742399999998</v>
      </c>
      <c r="HG609" s="81">
        <v>95.335120000000018</v>
      </c>
      <c r="HI609" s="81">
        <v>65.895991999999993</v>
      </c>
      <c r="HJ609" s="81">
        <v>30.338069333333333</v>
      </c>
    </row>
  </sheetData>
  <customSheetViews>
    <customSheetView guid="{2CFD7C4A-4E08-F84A-A0D6-1548564B7C42}">
      <selection activeCell="D1" sqref="D1"/>
      <pageMargins left="0.75" right="0.75" top="1" bottom="1" header="0.5" footer="0.5"/>
      <pageSetup orientation="portrait" horizontalDpi="4294967292" verticalDpi="4294967292"/>
      <headerFooter alignWithMargins="0"/>
    </customSheetView>
  </customSheetViews>
  <mergeCells count="1">
    <mergeCell ref="A1:B1"/>
  </mergeCells>
  <phoneticPr fontId="3"/>
  <hyperlinks>
    <hyperlink ref="B6" r:id="rId1" display="unique ID assigned by SESAR" xr:uid="{00000000-0004-0000-0200-000000000000}"/>
    <hyperlink ref="K2" r:id="rId2" location="parameters" xr:uid="{00000000-0004-0000-0200-000001000000}"/>
    <hyperlink ref="K4" r:id="rId3" location="units" xr:uid="{00000000-0004-0000-0200-000002000000}"/>
    <hyperlink ref="K3" location="'4 Primary Analytical Metadata'!A6" display="METHOD CODE [more info]:" xr:uid="{00000000-0004-0000-0200-000003000000}"/>
  </hyperlinks>
  <pageMargins left="0.75" right="0.75" top="1" bottom="1" header="0.5" footer="0.5"/>
  <pageSetup orientation="portrait" horizontalDpi="4294967292" verticalDpi="4294967292"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589"/>
  <sheetViews>
    <sheetView zoomScale="85" zoomScaleNormal="85" workbookViewId="0">
      <pane xSplit="1" topLeftCell="B1" activePane="topRight" state="frozen"/>
      <selection activeCell="A28" sqref="A28"/>
      <selection pane="topRight" activeCell="I23" sqref="I23"/>
    </sheetView>
  </sheetViews>
  <sheetFormatPr baseColWidth="10" defaultColWidth="8.81640625" defaultRowHeight="13.2"/>
  <cols>
    <col min="1" max="1" width="11.81640625" style="86" customWidth="1"/>
    <col min="2" max="2" width="16" style="86" customWidth="1"/>
    <col min="3" max="3" width="1.1796875" style="88" customWidth="1"/>
    <col min="4" max="4" width="13.1796875" style="86" customWidth="1"/>
    <col min="5" max="5" width="16" style="86" customWidth="1"/>
    <col min="6" max="6" width="22.6328125" style="86" customWidth="1"/>
    <col min="7" max="7" width="16.81640625" style="86" bestFit="1" customWidth="1"/>
    <col min="8" max="8" width="13.1796875" style="87" bestFit="1" customWidth="1"/>
    <col min="9" max="9" width="15.6328125" style="87" bestFit="1" customWidth="1"/>
    <col min="10" max="10" width="9.81640625" style="87" bestFit="1" customWidth="1"/>
    <col min="11" max="11" width="17" style="86" bestFit="1" customWidth="1"/>
    <col min="12" max="12" width="23.6328125" style="86" bestFit="1" customWidth="1"/>
    <col min="13" max="13" width="9.81640625" style="86" bestFit="1" customWidth="1"/>
    <col min="14" max="14" width="0.81640625" style="88" customWidth="1"/>
    <col min="15" max="15" width="10.6328125" style="86" customWidth="1"/>
    <col min="16" max="16" width="16.6328125" style="86" bestFit="1" customWidth="1"/>
    <col min="17" max="17" width="19.36328125" style="86" bestFit="1" customWidth="1"/>
    <col min="18" max="18" width="20.1796875" style="86" bestFit="1" customWidth="1"/>
    <col min="19" max="19" width="24.36328125" style="86" bestFit="1" customWidth="1"/>
    <col min="20" max="20" width="14.6328125" style="86" bestFit="1" customWidth="1"/>
    <col min="21" max="24" width="14.6328125" style="86" customWidth="1"/>
    <col min="25" max="25" width="9.36328125" style="86" bestFit="1" customWidth="1"/>
    <col min="26" max="26" width="10" style="86" bestFit="1" customWidth="1"/>
    <col min="27" max="29" width="11.1796875" style="86" bestFit="1" customWidth="1"/>
    <col min="30" max="30" width="12.6328125" style="86" bestFit="1" customWidth="1"/>
    <col min="31" max="34" width="14.6328125" style="86" customWidth="1"/>
    <col min="35" max="35" width="9.36328125" style="86" bestFit="1" customWidth="1"/>
    <col min="36" max="36" width="11.36328125" style="86" bestFit="1" customWidth="1"/>
    <col min="37" max="39" width="11.1796875" style="86" bestFit="1" customWidth="1"/>
    <col min="40" max="40" width="12.6328125" style="86" bestFit="1" customWidth="1"/>
    <col min="41" max="44" width="14.6328125" style="86" customWidth="1"/>
    <col min="45" max="16384" width="8.81640625" style="86"/>
  </cols>
  <sheetData>
    <row r="1" spans="1:44" s="11" customFormat="1" ht="29.25" customHeight="1">
      <c r="A1" s="137" t="s">
        <v>39</v>
      </c>
      <c r="B1" s="138"/>
      <c r="C1" s="138"/>
      <c r="D1" s="138"/>
      <c r="E1" s="138"/>
      <c r="F1" s="70" t="s">
        <v>111</v>
      </c>
      <c r="H1" s="17"/>
      <c r="I1" s="17"/>
      <c r="J1" s="17"/>
      <c r="K1" s="12"/>
      <c r="L1" s="12"/>
      <c r="M1" s="12"/>
      <c r="N1" s="12"/>
      <c r="O1" s="12"/>
      <c r="P1" s="12"/>
      <c r="Q1" s="12"/>
      <c r="R1" s="12"/>
      <c r="S1" s="12"/>
      <c r="T1" s="12"/>
      <c r="U1" s="12"/>
      <c r="V1" s="12"/>
      <c r="W1" s="12"/>
      <c r="X1" s="12"/>
      <c r="AE1" s="12"/>
      <c r="AF1" s="12"/>
      <c r="AG1" s="12"/>
      <c r="AH1" s="12"/>
      <c r="AO1" s="12"/>
      <c r="AP1" s="12"/>
      <c r="AQ1" s="12"/>
      <c r="AR1" s="12"/>
    </row>
    <row r="2" spans="1:44" s="11" customFormat="1" ht="16.2" customHeight="1">
      <c r="A2" s="159"/>
      <c r="B2" s="160"/>
      <c r="C2" s="47"/>
      <c r="D2" s="48"/>
      <c r="E2" s="47"/>
      <c r="F2" s="12"/>
      <c r="G2" s="15"/>
      <c r="H2" s="17"/>
      <c r="I2" s="17"/>
      <c r="J2" s="17"/>
      <c r="K2" s="12"/>
      <c r="L2" s="12"/>
      <c r="M2" s="12"/>
      <c r="N2" s="12"/>
      <c r="O2" s="12"/>
      <c r="P2" s="12"/>
      <c r="Q2" s="12"/>
      <c r="R2" s="12"/>
      <c r="S2" s="12"/>
      <c r="T2" s="12"/>
      <c r="U2" s="12"/>
      <c r="V2" s="12"/>
      <c r="W2" s="12"/>
      <c r="X2" s="12"/>
      <c r="AE2" s="12"/>
      <c r="AF2" s="12"/>
      <c r="AG2" s="12"/>
      <c r="AH2" s="12"/>
      <c r="AO2" s="12"/>
      <c r="AP2" s="12"/>
      <c r="AQ2" s="12"/>
      <c r="AR2" s="12"/>
    </row>
    <row r="3" spans="1:44" s="7" customFormat="1" ht="17.399999999999999">
      <c r="A3" s="161" t="s">
        <v>44</v>
      </c>
      <c r="B3" s="162" t="s">
        <v>0</v>
      </c>
      <c r="C3" s="10"/>
      <c r="D3" s="60" t="s">
        <v>5</v>
      </c>
      <c r="E3" s="60"/>
      <c r="F3" s="60"/>
      <c r="G3" s="60"/>
      <c r="H3" s="61"/>
      <c r="I3" s="61"/>
      <c r="J3" s="61"/>
      <c r="K3" s="93" t="s">
        <v>92</v>
      </c>
      <c r="L3" s="2"/>
      <c r="M3" s="49"/>
      <c r="N3" s="10"/>
      <c r="O3" s="62" t="s">
        <v>6</v>
      </c>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row>
    <row r="4" spans="1:44" s="3" customFormat="1" ht="15.6">
      <c r="A4" s="72"/>
      <c r="B4" s="72"/>
      <c r="C4" s="5"/>
      <c r="D4" s="39"/>
      <c r="E4" s="39"/>
      <c r="F4" s="39"/>
      <c r="G4" s="39"/>
      <c r="H4" s="40"/>
      <c r="I4" s="40"/>
      <c r="J4" s="40"/>
      <c r="K4" s="20"/>
      <c r="L4" s="79"/>
      <c r="M4" s="20"/>
      <c r="N4" s="5"/>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row>
    <row r="5" spans="1:44" s="92" customFormat="1" ht="67.95" customHeight="1">
      <c r="A5" s="91" t="s">
        <v>3</v>
      </c>
      <c r="B5" s="91" t="s">
        <v>27</v>
      </c>
      <c r="C5" s="6"/>
      <c r="D5" s="42" t="s">
        <v>7</v>
      </c>
      <c r="E5" s="42" t="s">
        <v>117</v>
      </c>
      <c r="F5" s="42" t="s">
        <v>8</v>
      </c>
      <c r="G5" s="43" t="s">
        <v>59</v>
      </c>
      <c r="H5" s="44" t="s">
        <v>60</v>
      </c>
      <c r="I5" s="44" t="s">
        <v>90</v>
      </c>
      <c r="J5" s="44" t="s">
        <v>91</v>
      </c>
      <c r="K5" s="84" t="s">
        <v>104</v>
      </c>
      <c r="L5" s="85" t="s">
        <v>90</v>
      </c>
      <c r="M5" s="85" t="s">
        <v>91</v>
      </c>
      <c r="N5" s="6"/>
      <c r="O5" s="57" t="s">
        <v>64</v>
      </c>
      <c r="P5" s="57" t="s">
        <v>118</v>
      </c>
      <c r="Q5" s="57" t="s">
        <v>119</v>
      </c>
      <c r="R5" s="57" t="s">
        <v>120</v>
      </c>
      <c r="S5" s="57" t="s">
        <v>121</v>
      </c>
      <c r="T5" s="57" t="s">
        <v>122</v>
      </c>
      <c r="U5" s="57" t="s">
        <v>80</v>
      </c>
      <c r="V5" s="57" t="s">
        <v>1484</v>
      </c>
      <c r="W5" s="57" t="s">
        <v>1472</v>
      </c>
      <c r="X5" s="57" t="s">
        <v>78</v>
      </c>
      <c r="Y5" s="57" t="s">
        <v>64</v>
      </c>
      <c r="Z5" s="57" t="s">
        <v>118</v>
      </c>
      <c r="AA5" s="57" t="s">
        <v>119</v>
      </c>
      <c r="AB5" s="57" t="s">
        <v>120</v>
      </c>
      <c r="AC5" s="57" t="s">
        <v>121</v>
      </c>
      <c r="AD5" s="57" t="s">
        <v>122</v>
      </c>
      <c r="AE5" s="57" t="s">
        <v>80</v>
      </c>
      <c r="AF5" s="57" t="s">
        <v>1484</v>
      </c>
      <c r="AG5" s="57" t="s">
        <v>1472</v>
      </c>
      <c r="AH5" s="57" t="s">
        <v>78</v>
      </c>
      <c r="AI5" s="57" t="s">
        <v>64</v>
      </c>
      <c r="AJ5" s="57" t="s">
        <v>118</v>
      </c>
      <c r="AK5" s="57" t="s">
        <v>119</v>
      </c>
      <c r="AL5" s="57" t="s">
        <v>120</v>
      </c>
      <c r="AM5" s="57" t="s">
        <v>121</v>
      </c>
      <c r="AN5" s="57" t="s">
        <v>122</v>
      </c>
      <c r="AO5" s="57" t="s">
        <v>80</v>
      </c>
      <c r="AP5" s="57" t="s">
        <v>1484</v>
      </c>
      <c r="AQ5" s="57" t="s">
        <v>1472</v>
      </c>
      <c r="AR5" s="57" t="s">
        <v>78</v>
      </c>
    </row>
    <row r="6" spans="1:44" s="16" customFormat="1" ht="57">
      <c r="A6" s="74" t="s">
        <v>103</v>
      </c>
      <c r="B6" s="74" t="s">
        <v>75</v>
      </c>
      <c r="C6" s="45"/>
      <c r="D6" s="136" t="s">
        <v>37</v>
      </c>
      <c r="E6" s="32" t="s">
        <v>86</v>
      </c>
      <c r="F6" s="32" t="s">
        <v>33</v>
      </c>
      <c r="G6" s="32" t="s">
        <v>24</v>
      </c>
      <c r="H6" s="46" t="s">
        <v>25</v>
      </c>
      <c r="I6" s="46" t="s">
        <v>105</v>
      </c>
      <c r="J6" s="46"/>
      <c r="K6" s="23" t="s">
        <v>106</v>
      </c>
      <c r="L6" s="23" t="s">
        <v>105</v>
      </c>
      <c r="M6" s="23"/>
      <c r="N6" s="45"/>
      <c r="O6" s="33" t="s">
        <v>87</v>
      </c>
      <c r="P6" s="33"/>
      <c r="Q6" s="33" t="s">
        <v>83</v>
      </c>
      <c r="R6" s="33" t="s">
        <v>123</v>
      </c>
      <c r="S6" s="33" t="s">
        <v>83</v>
      </c>
      <c r="T6" s="33" t="s">
        <v>26</v>
      </c>
      <c r="U6" s="33"/>
      <c r="V6" s="33"/>
      <c r="W6" s="33"/>
      <c r="X6" s="33"/>
      <c r="Y6" s="33" t="s">
        <v>87</v>
      </c>
      <c r="Z6" s="33"/>
      <c r="AA6" s="33" t="s">
        <v>83</v>
      </c>
      <c r="AB6" s="33" t="s">
        <v>123</v>
      </c>
      <c r="AC6" s="33" t="s">
        <v>83</v>
      </c>
      <c r="AD6" s="33" t="s">
        <v>26</v>
      </c>
      <c r="AE6" s="33"/>
      <c r="AF6" s="33"/>
      <c r="AG6" s="33"/>
      <c r="AH6" s="33"/>
      <c r="AI6" s="33" t="s">
        <v>87</v>
      </c>
      <c r="AJ6" s="33"/>
      <c r="AK6" s="33" t="s">
        <v>83</v>
      </c>
      <c r="AL6" s="33" t="s">
        <v>123</v>
      </c>
      <c r="AM6" s="33" t="s">
        <v>83</v>
      </c>
      <c r="AN6" s="33" t="s">
        <v>26</v>
      </c>
      <c r="AO6" s="33"/>
      <c r="AP6" s="33"/>
      <c r="AQ6" s="33"/>
      <c r="AR6" s="33"/>
    </row>
    <row r="7" spans="1:44" s="4" customFormat="1" ht="14.25" customHeight="1">
      <c r="A7" s="78">
        <v>1</v>
      </c>
      <c r="B7" s="1" t="s">
        <v>32</v>
      </c>
      <c r="C7" s="38"/>
      <c r="D7" s="94" t="s">
        <v>31</v>
      </c>
      <c r="E7" s="94" t="s">
        <v>160</v>
      </c>
      <c r="F7" s="94" t="s">
        <v>170</v>
      </c>
      <c r="G7" s="94" t="s">
        <v>172</v>
      </c>
      <c r="H7" s="95"/>
      <c r="I7" s="95"/>
      <c r="J7" s="95"/>
      <c r="K7" s="96"/>
      <c r="L7" s="96"/>
      <c r="M7" s="96"/>
      <c r="N7" s="88"/>
      <c r="O7" s="86"/>
      <c r="P7" s="86"/>
      <c r="Q7" s="86"/>
      <c r="R7" s="86"/>
      <c r="S7" s="86"/>
      <c r="T7" s="86"/>
      <c r="U7" s="86"/>
      <c r="V7" s="86"/>
      <c r="W7" s="149"/>
      <c r="X7" s="86"/>
      <c r="AE7" s="86"/>
      <c r="AF7" s="86"/>
      <c r="AG7" s="149"/>
      <c r="AH7" s="86"/>
      <c r="AO7" s="86"/>
      <c r="AP7" s="86"/>
      <c r="AQ7" s="86"/>
      <c r="AR7" s="86"/>
    </row>
    <row r="8" spans="1:44" s="1" customFormat="1" ht="15">
      <c r="A8" s="78">
        <v>1</v>
      </c>
      <c r="B8" s="1" t="s">
        <v>131</v>
      </c>
      <c r="C8" s="38"/>
      <c r="D8" s="94" t="s">
        <v>31</v>
      </c>
      <c r="E8" s="94" t="s">
        <v>161</v>
      </c>
      <c r="F8" s="94" t="s">
        <v>170</v>
      </c>
      <c r="G8" s="94" t="s">
        <v>172</v>
      </c>
      <c r="H8" s="95"/>
      <c r="I8" s="95"/>
      <c r="J8" s="95"/>
      <c r="K8" s="97"/>
      <c r="L8" s="98"/>
      <c r="M8" s="90"/>
      <c r="N8" s="88"/>
      <c r="O8" s="86"/>
      <c r="P8" s="86"/>
      <c r="Q8" s="86"/>
      <c r="R8" s="86"/>
      <c r="S8" s="86"/>
      <c r="T8" s="86"/>
      <c r="U8" s="86"/>
      <c r="V8" s="86"/>
      <c r="W8" s="149"/>
      <c r="X8" s="86"/>
      <c r="AE8" s="86"/>
      <c r="AF8" s="86"/>
      <c r="AG8" s="149"/>
      <c r="AH8" s="86"/>
      <c r="AO8" s="86"/>
      <c r="AP8" s="86"/>
      <c r="AQ8" s="86"/>
      <c r="AR8" s="86"/>
    </row>
    <row r="9" spans="1:44">
      <c r="A9" s="78">
        <v>1</v>
      </c>
      <c r="B9" s="86" t="s">
        <v>132</v>
      </c>
      <c r="D9" s="94" t="s">
        <v>31</v>
      </c>
      <c r="E9" s="94" t="s">
        <v>162</v>
      </c>
      <c r="F9" s="94" t="s">
        <v>170</v>
      </c>
      <c r="G9" s="94" t="s">
        <v>172</v>
      </c>
      <c r="K9" s="94"/>
      <c r="L9" s="94"/>
      <c r="M9" s="94"/>
      <c r="W9" s="149"/>
      <c r="AG9" s="149"/>
    </row>
    <row r="10" spans="1:44">
      <c r="A10" s="78">
        <v>1</v>
      </c>
      <c r="B10" s="86" t="s">
        <v>133</v>
      </c>
      <c r="D10" s="94" t="s">
        <v>31</v>
      </c>
      <c r="E10" s="94" t="s">
        <v>163</v>
      </c>
      <c r="F10" s="94" t="s">
        <v>170</v>
      </c>
      <c r="G10" s="94" t="s">
        <v>172</v>
      </c>
      <c r="K10" s="94"/>
      <c r="L10" s="94"/>
      <c r="M10" s="94"/>
      <c r="W10" s="149"/>
      <c r="AG10" s="149"/>
    </row>
    <row r="11" spans="1:44">
      <c r="A11" s="78">
        <v>1</v>
      </c>
      <c r="B11" s="86" t="s">
        <v>134</v>
      </c>
      <c r="D11" s="94" t="s">
        <v>31</v>
      </c>
      <c r="E11" s="94" t="s">
        <v>164</v>
      </c>
      <c r="F11" s="94" t="s">
        <v>170</v>
      </c>
      <c r="G11" s="94" t="s">
        <v>172</v>
      </c>
      <c r="K11" s="94"/>
      <c r="L11" s="94"/>
      <c r="M11" s="94"/>
      <c r="W11" s="149"/>
      <c r="AG11" s="149"/>
      <c r="AQ11" s="149"/>
    </row>
    <row r="12" spans="1:44">
      <c r="A12" s="78">
        <v>1</v>
      </c>
      <c r="B12" s="86" t="s">
        <v>135</v>
      </c>
      <c r="D12" s="94" t="s">
        <v>31</v>
      </c>
      <c r="E12" s="94" t="s">
        <v>165</v>
      </c>
      <c r="F12" s="94" t="s">
        <v>170</v>
      </c>
      <c r="G12" s="94" t="s">
        <v>172</v>
      </c>
      <c r="K12" s="94"/>
      <c r="L12" s="94"/>
      <c r="M12" s="94"/>
      <c r="W12" s="149"/>
      <c r="AG12" s="149"/>
      <c r="AQ12" s="149"/>
    </row>
    <row r="13" spans="1:44">
      <c r="A13" s="78">
        <v>1</v>
      </c>
      <c r="B13" s="86" t="s">
        <v>136</v>
      </c>
      <c r="D13" s="94" t="s">
        <v>31</v>
      </c>
      <c r="E13" s="94" t="s">
        <v>166</v>
      </c>
      <c r="F13" s="94" t="s">
        <v>170</v>
      </c>
      <c r="G13" s="94" t="s">
        <v>172</v>
      </c>
      <c r="K13" s="94"/>
      <c r="L13" s="94"/>
      <c r="M13" s="94"/>
      <c r="W13" s="149"/>
      <c r="AG13" s="149"/>
      <c r="AQ13" s="149"/>
    </row>
    <row r="14" spans="1:44">
      <c r="A14" s="78">
        <v>1</v>
      </c>
      <c r="B14" s="86" t="s">
        <v>137</v>
      </c>
      <c r="D14" s="94" t="s">
        <v>31</v>
      </c>
      <c r="E14" s="94" t="s">
        <v>167</v>
      </c>
      <c r="F14" s="94" t="s">
        <v>170</v>
      </c>
      <c r="G14" s="94" t="s">
        <v>172</v>
      </c>
      <c r="K14" s="94"/>
      <c r="L14" s="94"/>
      <c r="M14" s="94"/>
      <c r="W14" s="149"/>
      <c r="AG14" s="149"/>
      <c r="AQ14" s="149"/>
    </row>
    <row r="15" spans="1:44">
      <c r="A15" s="78">
        <v>1</v>
      </c>
      <c r="B15" s="86" t="s">
        <v>138</v>
      </c>
      <c r="D15" s="94" t="s">
        <v>31</v>
      </c>
      <c r="E15" s="94" t="s">
        <v>168</v>
      </c>
      <c r="F15" s="94" t="s">
        <v>170</v>
      </c>
      <c r="G15" s="94" t="s">
        <v>172</v>
      </c>
      <c r="K15" s="94"/>
      <c r="L15" s="94"/>
      <c r="M15" s="94"/>
      <c r="W15" s="149"/>
      <c r="AG15" s="149"/>
      <c r="AQ15" s="149"/>
    </row>
    <row r="16" spans="1:44">
      <c r="A16" s="78">
        <v>1</v>
      </c>
      <c r="B16" s="86" t="s">
        <v>139</v>
      </c>
      <c r="D16" s="94" t="s">
        <v>31</v>
      </c>
      <c r="E16" s="94" t="s">
        <v>169</v>
      </c>
      <c r="F16" s="94" t="s">
        <v>170</v>
      </c>
      <c r="G16" s="94" t="s">
        <v>172</v>
      </c>
      <c r="K16" s="94"/>
      <c r="L16" s="94"/>
      <c r="M16" s="94"/>
      <c r="W16" s="149"/>
      <c r="AG16" s="149"/>
      <c r="AQ16" s="149"/>
    </row>
    <row r="17" spans="1:44">
      <c r="A17" s="78">
        <v>2</v>
      </c>
      <c r="B17" s="86" t="s">
        <v>140</v>
      </c>
      <c r="D17" s="94" t="s">
        <v>174</v>
      </c>
      <c r="E17" s="94"/>
      <c r="F17" s="94" t="s">
        <v>170</v>
      </c>
      <c r="G17" s="94" t="s">
        <v>172</v>
      </c>
      <c r="K17" s="94"/>
      <c r="L17" s="94"/>
      <c r="M17" s="94"/>
      <c r="W17" s="149"/>
      <c r="AG17" s="149"/>
      <c r="AQ17" s="149"/>
    </row>
    <row r="18" spans="1:44">
      <c r="A18" s="78">
        <v>3</v>
      </c>
      <c r="B18" s="86" t="s">
        <v>189</v>
      </c>
      <c r="D18" s="94" t="s">
        <v>209</v>
      </c>
      <c r="E18" s="94" t="s">
        <v>210</v>
      </c>
      <c r="F18" s="94" t="s">
        <v>170</v>
      </c>
      <c r="G18" s="94" t="s">
        <v>172</v>
      </c>
      <c r="K18" s="94"/>
      <c r="L18" s="94"/>
      <c r="M18" s="94"/>
      <c r="O18" s="86" t="s">
        <v>176</v>
      </c>
      <c r="P18" s="103">
        <v>3.6578437659016458</v>
      </c>
      <c r="Q18" s="86" t="s">
        <v>188</v>
      </c>
      <c r="U18" s="86">
        <v>4.5</v>
      </c>
      <c r="V18" s="86">
        <v>8.5000000000000006E-2</v>
      </c>
      <c r="W18" s="149">
        <v>-0.18714582979963426</v>
      </c>
      <c r="X18" s="86" t="s">
        <v>1473</v>
      </c>
      <c r="Y18" s="86" t="s">
        <v>1425</v>
      </c>
      <c r="Z18" s="103">
        <v>8.8114356200406938</v>
      </c>
      <c r="AA18" s="86" t="s">
        <v>188</v>
      </c>
      <c r="AE18" s="86">
        <v>8.08</v>
      </c>
      <c r="AF18" s="86">
        <v>0.15</v>
      </c>
      <c r="AG18" s="149">
        <v>9.0524210401075958E-2</v>
      </c>
      <c r="AH18" s="86" t="s">
        <v>1473</v>
      </c>
      <c r="AI18" s="86" t="s">
        <v>1426</v>
      </c>
      <c r="AJ18" s="86">
        <v>12.181078555295034</v>
      </c>
      <c r="AK18" s="86" t="s">
        <v>188</v>
      </c>
      <c r="AO18" s="86">
        <v>9.2100000000000009</v>
      </c>
      <c r="AP18" s="86">
        <v>0.19</v>
      </c>
      <c r="AQ18" s="149">
        <v>0.3225926770135758</v>
      </c>
      <c r="AR18" s="86" t="s">
        <v>1474</v>
      </c>
    </row>
    <row r="19" spans="1:44">
      <c r="A19" s="78">
        <v>3</v>
      </c>
      <c r="B19" s="86" t="s">
        <v>190</v>
      </c>
      <c r="D19" s="94" t="s">
        <v>209</v>
      </c>
      <c r="E19" s="94" t="s">
        <v>210</v>
      </c>
      <c r="F19" s="94" t="s">
        <v>170</v>
      </c>
      <c r="G19" s="94" t="s">
        <v>172</v>
      </c>
      <c r="K19" s="94"/>
      <c r="L19" s="94"/>
      <c r="M19" s="94"/>
      <c r="O19" s="86" t="s">
        <v>176</v>
      </c>
      <c r="P19" s="103">
        <v>31.936857337428901</v>
      </c>
      <c r="Q19" s="86" t="s">
        <v>188</v>
      </c>
      <c r="U19" s="86">
        <v>31.83</v>
      </c>
      <c r="V19" s="86">
        <v>0.34</v>
      </c>
      <c r="W19" s="149">
        <v>3.3571265293403192E-3</v>
      </c>
      <c r="X19" s="86" t="s">
        <v>1473</v>
      </c>
      <c r="Y19" s="86" t="s">
        <v>1425</v>
      </c>
      <c r="Z19" s="103">
        <v>62.435229968495477</v>
      </c>
      <c r="AA19" s="86" t="s">
        <v>188</v>
      </c>
      <c r="AE19" s="86">
        <v>54.08</v>
      </c>
      <c r="AF19" s="86">
        <v>0.76</v>
      </c>
      <c r="AG19" s="149">
        <v>0.15449759557129214</v>
      </c>
      <c r="AH19" s="86" t="s">
        <v>1473</v>
      </c>
      <c r="AI19" s="86" t="s">
        <v>1426</v>
      </c>
      <c r="AJ19" s="86">
        <v>36.757950689340824</v>
      </c>
      <c r="AK19" s="86" t="s">
        <v>188</v>
      </c>
      <c r="AO19" s="86">
        <v>35.86</v>
      </c>
      <c r="AP19" s="86">
        <v>0.38</v>
      </c>
      <c r="AQ19" s="149">
        <v>2.504045424821038E-2</v>
      </c>
      <c r="AR19" s="86" t="s">
        <v>1474</v>
      </c>
    </row>
    <row r="20" spans="1:44">
      <c r="A20" s="78">
        <v>3</v>
      </c>
      <c r="B20" s="86" t="s">
        <v>141</v>
      </c>
      <c r="D20" s="94" t="s">
        <v>209</v>
      </c>
      <c r="E20" s="94" t="s">
        <v>210</v>
      </c>
      <c r="F20" s="94" t="s">
        <v>170</v>
      </c>
      <c r="G20" s="94" t="s">
        <v>172</v>
      </c>
      <c r="K20" s="94"/>
      <c r="L20" s="94"/>
      <c r="M20" s="94"/>
      <c r="O20" s="86" t="s">
        <v>176</v>
      </c>
      <c r="P20" s="103">
        <v>316.19031131431683</v>
      </c>
      <c r="Q20" s="86" t="s">
        <v>188</v>
      </c>
      <c r="U20" s="86">
        <v>318.2</v>
      </c>
      <c r="V20" s="86">
        <v>2.2999999999999998</v>
      </c>
      <c r="W20" s="149">
        <v>-6.3158035376592045E-3</v>
      </c>
      <c r="X20" s="86" t="s">
        <v>1473</v>
      </c>
      <c r="Y20" s="86" t="s">
        <v>1425</v>
      </c>
      <c r="Z20" s="103">
        <v>580.05546311292903</v>
      </c>
      <c r="AA20" s="86" t="s">
        <v>188</v>
      </c>
      <c r="AE20" s="86">
        <v>572.4</v>
      </c>
      <c r="AF20" s="86">
        <v>8.3000000000000007</v>
      </c>
      <c r="AG20" s="149">
        <v>1.3374324096661522E-2</v>
      </c>
      <c r="AH20" s="86" t="s">
        <v>1473</v>
      </c>
      <c r="AI20" s="86" t="s">
        <v>1426</v>
      </c>
      <c r="AJ20" s="86">
        <v>268.36721707690464</v>
      </c>
      <c r="AK20" s="86" t="s">
        <v>188</v>
      </c>
      <c r="AO20" s="86">
        <v>265.8</v>
      </c>
      <c r="AP20" s="86">
        <v>2.9</v>
      </c>
      <c r="AQ20" s="149">
        <v>9.6584540139376448E-3</v>
      </c>
      <c r="AR20" s="86" t="s">
        <v>1474</v>
      </c>
    </row>
    <row r="21" spans="1:44">
      <c r="A21" s="78">
        <v>3</v>
      </c>
      <c r="B21" s="86" t="s">
        <v>142</v>
      </c>
      <c r="D21" s="94" t="s">
        <v>209</v>
      </c>
      <c r="E21" s="94" t="s">
        <v>210</v>
      </c>
      <c r="F21" s="94" t="s">
        <v>170</v>
      </c>
      <c r="G21" s="94" t="s">
        <v>172</v>
      </c>
      <c r="K21" s="94"/>
      <c r="L21" s="94"/>
      <c r="M21" s="94"/>
      <c r="O21" s="86" t="s">
        <v>176</v>
      </c>
      <c r="P21" s="103">
        <v>293.90511771223584</v>
      </c>
      <c r="Q21" s="86" t="s">
        <v>188</v>
      </c>
      <c r="U21" s="86">
        <v>287.2</v>
      </c>
      <c r="V21" s="86">
        <v>3.1</v>
      </c>
      <c r="W21" s="149">
        <v>2.3346510140096959E-2</v>
      </c>
      <c r="X21" s="86" t="s">
        <v>1473</v>
      </c>
      <c r="Y21" s="86" t="s">
        <v>1425</v>
      </c>
      <c r="Z21" s="103">
        <v>22.468529462105373</v>
      </c>
      <c r="AA21" s="86" t="s">
        <v>188</v>
      </c>
      <c r="AE21" s="86">
        <v>26.65</v>
      </c>
      <c r="AF21" s="86">
        <v>0.69</v>
      </c>
      <c r="AG21" s="149">
        <v>-0.15690320967709667</v>
      </c>
      <c r="AH21" s="86" t="s">
        <v>1473</v>
      </c>
      <c r="AI21" s="86" t="s">
        <v>1426</v>
      </c>
      <c r="AJ21" s="86">
        <v>107.0885343596433</v>
      </c>
      <c r="AK21" s="86" t="s">
        <v>188</v>
      </c>
      <c r="AO21" s="86">
        <v>92</v>
      </c>
      <c r="AP21" s="86">
        <v>1.6</v>
      </c>
      <c r="AQ21" s="149">
        <v>0.16400580825699243</v>
      </c>
      <c r="AR21" s="86" t="s">
        <v>1474</v>
      </c>
    </row>
    <row r="22" spans="1:44">
      <c r="A22" s="78">
        <v>3</v>
      </c>
      <c r="B22" s="86" t="s">
        <v>191</v>
      </c>
      <c r="D22" s="94" t="s">
        <v>209</v>
      </c>
      <c r="E22" s="94" t="s">
        <v>210</v>
      </c>
      <c r="F22" s="94" t="s">
        <v>170</v>
      </c>
      <c r="G22" s="94" t="s">
        <v>172</v>
      </c>
      <c r="K22" s="94"/>
      <c r="L22" s="94"/>
      <c r="M22" s="94"/>
      <c r="O22" s="86" t="s">
        <v>176</v>
      </c>
      <c r="P22" s="103">
        <v>47.294179205468268</v>
      </c>
      <c r="Q22" s="86" t="s">
        <v>188</v>
      </c>
      <c r="U22" s="86">
        <v>44.89</v>
      </c>
      <c r="V22" s="86">
        <v>0.32</v>
      </c>
      <c r="W22" s="149">
        <v>5.3557121975234288E-2</v>
      </c>
      <c r="X22" s="86" t="s">
        <v>1473</v>
      </c>
      <c r="Y22" s="86" t="s">
        <v>1425</v>
      </c>
      <c r="Z22" s="103">
        <v>39.163636012552779</v>
      </c>
      <c r="AA22" s="86" t="s">
        <v>188</v>
      </c>
      <c r="AE22" s="86">
        <v>37.57</v>
      </c>
      <c r="AF22" s="86">
        <v>0.67</v>
      </c>
      <c r="AG22" s="149">
        <v>4.2417780477848777E-2</v>
      </c>
      <c r="AH22" s="86" t="s">
        <v>1473</v>
      </c>
      <c r="AI22" s="86" t="s">
        <v>1426</v>
      </c>
      <c r="AJ22" s="86">
        <v>46.95277479506732</v>
      </c>
      <c r="AK22" s="86" t="s">
        <v>188</v>
      </c>
      <c r="AO22" s="86">
        <v>44.37</v>
      </c>
      <c r="AP22" s="86">
        <v>0.65</v>
      </c>
      <c r="AQ22" s="149">
        <v>5.8209934529351429E-2</v>
      </c>
      <c r="AR22" s="86" t="s">
        <v>1474</v>
      </c>
    </row>
    <row r="23" spans="1:44">
      <c r="A23" s="78">
        <v>3</v>
      </c>
      <c r="B23" s="86" t="s">
        <v>144</v>
      </c>
      <c r="D23" s="94" t="s">
        <v>209</v>
      </c>
      <c r="E23" s="94" t="s">
        <v>210</v>
      </c>
      <c r="F23" s="94" t="s">
        <v>170</v>
      </c>
      <c r="G23" s="94" t="s">
        <v>172</v>
      </c>
      <c r="K23" s="94"/>
      <c r="L23" s="94"/>
      <c r="M23" s="94"/>
      <c r="O23" s="86" t="s">
        <v>176</v>
      </c>
      <c r="P23" s="103">
        <v>127.92522556380794</v>
      </c>
      <c r="Q23" s="86" t="s">
        <v>188</v>
      </c>
      <c r="U23" s="86">
        <v>129.30000000000001</v>
      </c>
      <c r="V23" s="86">
        <v>1.4</v>
      </c>
      <c r="W23" s="149">
        <v>-1.0632439568384141E-2</v>
      </c>
      <c r="X23" s="86" t="s">
        <v>1473</v>
      </c>
      <c r="Y23" s="86" t="s">
        <v>1425</v>
      </c>
      <c r="Z23" s="103">
        <v>222.48756064080465</v>
      </c>
      <c r="AA23" s="86" t="s">
        <v>188</v>
      </c>
      <c r="AE23" s="86">
        <v>222.1</v>
      </c>
      <c r="AF23" s="86">
        <v>3.6</v>
      </c>
      <c r="AG23" s="149">
        <v>1.744982624064164E-3</v>
      </c>
      <c r="AH23" s="86" t="s">
        <v>1473</v>
      </c>
      <c r="AI23" s="86" t="s">
        <v>1426</v>
      </c>
      <c r="AJ23" s="86">
        <v>107.57213737573574</v>
      </c>
      <c r="AK23" s="86" t="s">
        <v>188</v>
      </c>
      <c r="AO23" s="86">
        <v>105.9</v>
      </c>
      <c r="AP23" s="86">
        <v>1.5</v>
      </c>
      <c r="AQ23" s="149">
        <v>1.5789776919128706E-2</v>
      </c>
      <c r="AR23" s="86" t="s">
        <v>1474</v>
      </c>
    </row>
    <row r="24" spans="1:44">
      <c r="A24" s="78">
        <v>3</v>
      </c>
      <c r="B24" s="86" t="s">
        <v>145</v>
      </c>
      <c r="D24" s="94" t="s">
        <v>209</v>
      </c>
      <c r="E24" s="94" t="s">
        <v>210</v>
      </c>
      <c r="F24" s="94" t="s">
        <v>170</v>
      </c>
      <c r="G24" s="94" t="s">
        <v>172</v>
      </c>
      <c r="K24" s="94"/>
      <c r="L24" s="94"/>
      <c r="M24" s="94"/>
      <c r="O24" s="86" t="s">
        <v>176</v>
      </c>
      <c r="P24" s="103">
        <v>100.02992100738412</v>
      </c>
      <c r="Q24" s="86" t="s">
        <v>188</v>
      </c>
      <c r="U24" s="86">
        <v>103.9</v>
      </c>
      <c r="V24" s="86">
        <v>1</v>
      </c>
      <c r="W24" s="149">
        <v>-3.7248113499671678E-2</v>
      </c>
      <c r="X24" s="86" t="s">
        <v>1473</v>
      </c>
      <c r="Y24" s="86" t="s">
        <v>1425</v>
      </c>
      <c r="Z24" s="103">
        <v>104.36362347429194</v>
      </c>
      <c r="AA24" s="86" t="s">
        <v>188</v>
      </c>
      <c r="AE24" s="86">
        <v>110.4</v>
      </c>
      <c r="AF24" s="86">
        <v>2.6</v>
      </c>
      <c r="AG24" s="149">
        <v>-5.4677323602428114E-2</v>
      </c>
      <c r="AH24" s="86" t="s">
        <v>1473</v>
      </c>
      <c r="AI24" s="86" t="s">
        <v>1426</v>
      </c>
      <c r="AJ24" s="86">
        <v>79.094967783404542</v>
      </c>
      <c r="AK24" s="86" t="s">
        <v>188</v>
      </c>
      <c r="AO24" s="86">
        <v>77.7</v>
      </c>
      <c r="AP24" s="86">
        <v>1.6</v>
      </c>
      <c r="AQ24" s="149">
        <v>1.795325332566974E-2</v>
      </c>
      <c r="AR24" s="86" t="s">
        <v>1474</v>
      </c>
    </row>
    <row r="25" spans="1:44">
      <c r="A25" s="78">
        <v>3</v>
      </c>
      <c r="B25" s="86" t="s">
        <v>146</v>
      </c>
      <c r="D25" s="94" t="s">
        <v>209</v>
      </c>
      <c r="E25" s="94" t="s">
        <v>210</v>
      </c>
      <c r="F25" s="94" t="s">
        <v>170</v>
      </c>
      <c r="G25" s="94" t="s">
        <v>172</v>
      </c>
      <c r="K25" s="94"/>
      <c r="L25" s="94"/>
      <c r="M25" s="94"/>
      <c r="O25" s="86" t="s">
        <v>176</v>
      </c>
      <c r="P25" s="103">
        <v>20.748456490125296</v>
      </c>
      <c r="Q25" s="86" t="s">
        <v>188</v>
      </c>
      <c r="U25" s="86">
        <v>21.37</v>
      </c>
      <c r="V25" s="86">
        <v>0.2</v>
      </c>
      <c r="W25" s="149">
        <v>-2.9084862418095696E-2</v>
      </c>
      <c r="X25" s="86" t="s">
        <v>1473</v>
      </c>
      <c r="Y25" s="86" t="s">
        <v>1425</v>
      </c>
      <c r="Z25" s="103">
        <v>16.458184006078117</v>
      </c>
      <c r="AA25" s="86" t="s">
        <v>188</v>
      </c>
      <c r="AE25" s="86">
        <v>16.62</v>
      </c>
      <c r="AF25" s="86">
        <v>0.36</v>
      </c>
      <c r="AG25" s="149">
        <v>-9.7362210542649916E-3</v>
      </c>
      <c r="AH25" s="86" t="s">
        <v>1473</v>
      </c>
      <c r="AI25" s="86" t="s">
        <v>1426</v>
      </c>
      <c r="AJ25" s="86">
        <v>17.926942225230903</v>
      </c>
      <c r="AK25" s="86" t="s">
        <v>188</v>
      </c>
      <c r="AO25" s="86">
        <v>17.88</v>
      </c>
      <c r="AP25" s="86">
        <v>0.31</v>
      </c>
      <c r="AQ25" s="149">
        <v>2.6254040956881289E-3</v>
      </c>
      <c r="AR25" s="86" t="s">
        <v>1474</v>
      </c>
    </row>
    <row r="26" spans="1:44">
      <c r="A26" s="78">
        <v>3</v>
      </c>
      <c r="B26" s="86" t="s">
        <v>192</v>
      </c>
      <c r="D26" s="94" t="s">
        <v>209</v>
      </c>
      <c r="E26" s="94" t="s">
        <v>210</v>
      </c>
      <c r="F26" s="94" t="s">
        <v>170</v>
      </c>
      <c r="G26" s="94" t="s">
        <v>172</v>
      </c>
      <c r="K26" s="94"/>
      <c r="L26" s="94"/>
      <c r="M26" s="94"/>
      <c r="O26" s="86" t="s">
        <v>176</v>
      </c>
      <c r="P26" s="103">
        <v>1.4821627017383301</v>
      </c>
      <c r="Q26" s="86" t="s">
        <v>188</v>
      </c>
      <c r="W26" s="149"/>
      <c r="Y26" s="86" t="s">
        <v>1425</v>
      </c>
      <c r="Z26" s="103">
        <v>1.8398261527712931</v>
      </c>
      <c r="AA26" s="86" t="s">
        <v>188</v>
      </c>
      <c r="AE26" s="86">
        <v>2</v>
      </c>
      <c r="AG26" s="149">
        <v>-8.0086923614353434E-2</v>
      </c>
      <c r="AH26" s="86" t="s">
        <v>1473</v>
      </c>
      <c r="AI26" s="86" t="s">
        <v>1426</v>
      </c>
      <c r="AJ26" s="86">
        <v>2.5059961813599148</v>
      </c>
      <c r="AK26" s="86" t="s">
        <v>188</v>
      </c>
      <c r="AO26" s="86">
        <v>1.589</v>
      </c>
      <c r="AP26" s="86">
        <v>8.8999999999999996E-2</v>
      </c>
      <c r="AQ26" s="149">
        <v>0.57709010784135606</v>
      </c>
      <c r="AR26" s="86" t="s">
        <v>1474</v>
      </c>
    </row>
    <row r="27" spans="1:44">
      <c r="A27" s="78">
        <v>3</v>
      </c>
      <c r="B27" s="86" t="s">
        <v>147</v>
      </c>
      <c r="D27" s="94" t="s">
        <v>209</v>
      </c>
      <c r="E27" s="94" t="s">
        <v>210</v>
      </c>
      <c r="F27" s="94" t="s">
        <v>170</v>
      </c>
      <c r="G27" s="94" t="s">
        <v>172</v>
      </c>
      <c r="K27" s="94"/>
      <c r="L27" s="94"/>
      <c r="M27" s="94"/>
      <c r="O27" s="86" t="s">
        <v>176</v>
      </c>
      <c r="P27" s="103">
        <v>9.1810733301266847</v>
      </c>
      <c r="Q27" s="86" t="s">
        <v>188</v>
      </c>
      <c r="U27" s="86">
        <v>9.2609999999999992</v>
      </c>
      <c r="V27" s="86">
        <v>9.6000000000000002E-2</v>
      </c>
      <c r="W27" s="149">
        <v>-8.6304578202477649E-3</v>
      </c>
      <c r="X27" s="86" t="s">
        <v>1473</v>
      </c>
      <c r="Y27" s="86" t="s">
        <v>1425</v>
      </c>
      <c r="Z27" s="103">
        <v>6.3496211002935539</v>
      </c>
      <c r="AA27" s="86" t="s">
        <v>188</v>
      </c>
      <c r="AE27" s="86">
        <v>6.4</v>
      </c>
      <c r="AF27" s="86">
        <v>0.11</v>
      </c>
      <c r="AG27" s="149">
        <v>-7.871703079132264E-3</v>
      </c>
      <c r="AH27" s="86" t="s">
        <v>1473</v>
      </c>
      <c r="AI27" s="86" t="s">
        <v>1426</v>
      </c>
      <c r="AJ27" s="86">
        <v>20.762615607607469</v>
      </c>
      <c r="AK27" s="86" t="s">
        <v>188</v>
      </c>
      <c r="AO27" s="86">
        <v>20.23</v>
      </c>
      <c r="AP27" s="86">
        <v>0.27</v>
      </c>
      <c r="AQ27" s="149">
        <v>2.6328008285094819E-2</v>
      </c>
      <c r="AR27" s="86" t="s">
        <v>1474</v>
      </c>
    </row>
    <row r="28" spans="1:44">
      <c r="A28" s="78">
        <v>3</v>
      </c>
      <c r="B28" s="86" t="s">
        <v>148</v>
      </c>
      <c r="D28" s="94" t="s">
        <v>209</v>
      </c>
      <c r="E28" s="94" t="s">
        <v>210</v>
      </c>
      <c r="F28" s="94" t="s">
        <v>170</v>
      </c>
      <c r="G28" s="94" t="s">
        <v>172</v>
      </c>
      <c r="K28" s="94"/>
      <c r="L28" s="94"/>
      <c r="M28" s="94"/>
      <c r="O28" s="86" t="s">
        <v>176</v>
      </c>
      <c r="P28" s="103">
        <v>365.31031869991739</v>
      </c>
      <c r="Q28" s="86" t="s">
        <v>188</v>
      </c>
      <c r="U28" s="86">
        <v>394.1</v>
      </c>
      <c r="V28" s="86">
        <v>1.7</v>
      </c>
      <c r="W28" s="149">
        <v>-7.3051716062122893E-2</v>
      </c>
      <c r="X28" s="86" t="s">
        <v>1473</v>
      </c>
      <c r="Y28" s="86" t="s">
        <v>1425</v>
      </c>
      <c r="Z28" s="103">
        <v>168.07843522336304</v>
      </c>
      <c r="AA28" s="86" t="s">
        <v>188</v>
      </c>
      <c r="AE28" s="86">
        <v>178.2</v>
      </c>
      <c r="AF28" s="86">
        <v>1.5</v>
      </c>
      <c r="AG28" s="149">
        <v>-5.6798904470465462E-2</v>
      </c>
      <c r="AH28" s="86" t="s">
        <v>1473</v>
      </c>
      <c r="AI28" s="86" t="s">
        <v>1426</v>
      </c>
      <c r="AJ28" s="86">
        <v>189.90235311043944</v>
      </c>
      <c r="AK28" s="86" t="s">
        <v>188</v>
      </c>
      <c r="AO28" s="86">
        <v>195.4</v>
      </c>
      <c r="AP28" s="86">
        <v>1.6</v>
      </c>
      <c r="AQ28" s="149">
        <v>-2.8135347438897493E-2</v>
      </c>
      <c r="AR28" s="86" t="s">
        <v>1474</v>
      </c>
    </row>
    <row r="29" spans="1:44">
      <c r="A29" s="78">
        <v>3</v>
      </c>
      <c r="B29" s="86" t="s">
        <v>149</v>
      </c>
      <c r="D29" s="94" t="s">
        <v>209</v>
      </c>
      <c r="E29" s="94" t="s">
        <v>210</v>
      </c>
      <c r="F29" s="94" t="s">
        <v>170</v>
      </c>
      <c r="G29" s="94" t="s">
        <v>172</v>
      </c>
      <c r="K29" s="94"/>
      <c r="L29" s="94"/>
      <c r="M29" s="94"/>
      <c r="O29" s="86" t="s">
        <v>176</v>
      </c>
      <c r="P29" s="103">
        <v>26.477489287030238</v>
      </c>
      <c r="Q29" s="86" t="s">
        <v>188</v>
      </c>
      <c r="U29" s="86">
        <v>25.91</v>
      </c>
      <c r="V29" s="86">
        <v>0.28000000000000003</v>
      </c>
      <c r="W29" s="149">
        <v>2.1902326786192125E-2</v>
      </c>
      <c r="X29" s="86" t="s">
        <v>1473</v>
      </c>
      <c r="Y29" s="86" t="s">
        <v>1425</v>
      </c>
      <c r="Z29" s="103">
        <v>23.955876131143185</v>
      </c>
      <c r="AA29" s="86" t="s">
        <v>188</v>
      </c>
      <c r="AE29" s="86">
        <v>23.56</v>
      </c>
      <c r="AF29" s="86">
        <v>0.44</v>
      </c>
      <c r="AG29" s="149">
        <v>1.6802891814226929E-2</v>
      </c>
      <c r="AH29" s="86" t="s">
        <v>1473</v>
      </c>
      <c r="AI29" s="86" t="s">
        <v>1426</v>
      </c>
      <c r="AJ29" s="86">
        <v>23.354757484458649</v>
      </c>
      <c r="AK29" s="86" t="s">
        <v>188</v>
      </c>
      <c r="AO29" s="86">
        <v>21.82</v>
      </c>
      <c r="AP29" s="86">
        <v>0.33</v>
      </c>
      <c r="AQ29" s="149">
        <v>7.0337189938526501E-2</v>
      </c>
      <c r="AR29" s="86" t="s">
        <v>1474</v>
      </c>
    </row>
    <row r="30" spans="1:44">
      <c r="A30" s="78">
        <v>3</v>
      </c>
      <c r="B30" s="86" t="s">
        <v>150</v>
      </c>
      <c r="D30" s="94" t="s">
        <v>209</v>
      </c>
      <c r="E30" s="94" t="s">
        <v>210</v>
      </c>
      <c r="F30" s="94" t="s">
        <v>170</v>
      </c>
      <c r="G30" s="94" t="s">
        <v>172</v>
      </c>
      <c r="K30" s="94"/>
      <c r="L30" s="94"/>
      <c r="M30" s="94"/>
      <c r="O30" s="86" t="s">
        <v>176</v>
      </c>
      <c r="P30" s="103">
        <v>171.44451903634362</v>
      </c>
      <c r="Q30" s="86" t="s">
        <v>188</v>
      </c>
      <c r="U30" s="86">
        <v>171.2</v>
      </c>
      <c r="V30" s="86">
        <v>1.3</v>
      </c>
      <c r="W30" s="149">
        <v>1.4282653992034608E-3</v>
      </c>
      <c r="X30" s="86" t="s">
        <v>1473</v>
      </c>
      <c r="Y30" s="86" t="s">
        <v>1425</v>
      </c>
      <c r="Z30" s="103">
        <v>47.593507832137774</v>
      </c>
      <c r="AA30" s="86" t="s">
        <v>188</v>
      </c>
      <c r="AE30" s="86">
        <v>48.25</v>
      </c>
      <c r="AF30" s="86">
        <v>0.88</v>
      </c>
      <c r="AG30" s="149">
        <v>-1.3606055292481357E-2</v>
      </c>
      <c r="AH30" s="86" t="s">
        <v>1473</v>
      </c>
      <c r="AI30" s="86" t="s">
        <v>1426</v>
      </c>
      <c r="AJ30" s="86">
        <v>95.440324530115376</v>
      </c>
      <c r="AK30" s="86" t="s">
        <v>188</v>
      </c>
      <c r="AO30" s="86">
        <v>93.3</v>
      </c>
      <c r="AP30" s="86">
        <v>1.4</v>
      </c>
      <c r="AQ30" s="149">
        <v>2.2940241480336323E-2</v>
      </c>
      <c r="AR30" s="86" t="s">
        <v>1474</v>
      </c>
    </row>
    <row r="31" spans="1:44">
      <c r="A31" s="78">
        <v>3</v>
      </c>
      <c r="B31" s="86" t="s">
        <v>151</v>
      </c>
      <c r="D31" s="94" t="s">
        <v>209</v>
      </c>
      <c r="E31" s="94" t="s">
        <v>210</v>
      </c>
      <c r="F31" s="94" t="s">
        <v>170</v>
      </c>
      <c r="G31" s="94" t="s">
        <v>172</v>
      </c>
      <c r="K31" s="94"/>
      <c r="L31" s="94"/>
      <c r="M31" s="94"/>
      <c r="O31" s="86" t="s">
        <v>176</v>
      </c>
      <c r="P31" s="103">
        <v>18.631209366106933</v>
      </c>
      <c r="Q31" s="86" t="s">
        <v>188</v>
      </c>
      <c r="U31" s="86">
        <v>18.100000000000001</v>
      </c>
      <c r="V31" s="86">
        <v>0.2</v>
      </c>
      <c r="W31" s="149">
        <v>2.9348583762813917E-2</v>
      </c>
      <c r="X31" s="86" t="s">
        <v>1473</v>
      </c>
      <c r="Y31" s="86" t="s">
        <v>1425</v>
      </c>
      <c r="Z31" s="103">
        <v>0.49907869048475273</v>
      </c>
      <c r="AA31" s="86" t="s">
        <v>188</v>
      </c>
      <c r="AE31" s="86">
        <v>0.56499999999999995</v>
      </c>
      <c r="AF31" s="86">
        <v>3.4000000000000002E-2</v>
      </c>
      <c r="AG31" s="149">
        <v>-0.11667488409778269</v>
      </c>
      <c r="AH31" s="86" t="s">
        <v>1473</v>
      </c>
      <c r="AI31" s="86" t="s">
        <v>1426</v>
      </c>
      <c r="AJ31" s="86">
        <v>7.8345230828401338</v>
      </c>
      <c r="AK31" s="86" t="s">
        <v>188</v>
      </c>
      <c r="AO31" s="86">
        <v>7.51</v>
      </c>
      <c r="AP31" s="86">
        <v>0.15</v>
      </c>
      <c r="AQ31" s="149">
        <v>4.3212128207740876E-2</v>
      </c>
      <c r="AR31" s="86" t="s">
        <v>1474</v>
      </c>
    </row>
    <row r="32" spans="1:44">
      <c r="A32" s="78">
        <v>3</v>
      </c>
      <c r="B32" s="86" t="s">
        <v>193</v>
      </c>
      <c r="D32" s="94" t="s">
        <v>209</v>
      </c>
      <c r="E32" s="94" t="s">
        <v>210</v>
      </c>
      <c r="F32" s="94" t="s">
        <v>170</v>
      </c>
      <c r="G32" s="94" t="s">
        <v>172</v>
      </c>
      <c r="K32" s="94"/>
      <c r="L32" s="94"/>
      <c r="M32" s="94"/>
      <c r="O32" s="86" t="s">
        <v>176</v>
      </c>
      <c r="P32" s="103">
        <v>1.9112308613867997</v>
      </c>
      <c r="Q32" s="86" t="s">
        <v>188</v>
      </c>
      <c r="U32" s="86">
        <v>1.776</v>
      </c>
      <c r="V32" s="86">
        <v>5.8999999999999997E-2</v>
      </c>
      <c r="W32" s="149">
        <v>7.6143503033107893E-2</v>
      </c>
      <c r="X32" s="86" t="s">
        <v>1473</v>
      </c>
      <c r="Y32" s="86" t="s">
        <v>1425</v>
      </c>
      <c r="Z32" s="103">
        <v>0.76749483069042157</v>
      </c>
      <c r="AA32" s="86" t="s">
        <v>188</v>
      </c>
      <c r="AE32" s="86">
        <v>0.63500000000000001</v>
      </c>
      <c r="AF32" s="86">
        <v>5.3999999999999999E-2</v>
      </c>
      <c r="AG32" s="149">
        <v>0.20865327667782924</v>
      </c>
      <c r="AH32" s="86" t="s">
        <v>1473</v>
      </c>
      <c r="AI32" s="86" t="s">
        <v>1426</v>
      </c>
      <c r="AJ32" s="86">
        <v>2.1137103472122365</v>
      </c>
      <c r="AK32" s="86" t="s">
        <v>188</v>
      </c>
      <c r="AO32" s="86">
        <v>1.92</v>
      </c>
      <c r="AP32" s="86">
        <v>0.12</v>
      </c>
      <c r="AQ32" s="149">
        <v>0.10089080583970655</v>
      </c>
      <c r="AR32" s="86" t="s">
        <v>1474</v>
      </c>
    </row>
    <row r="33" spans="1:44">
      <c r="A33" s="78">
        <v>3</v>
      </c>
      <c r="B33" s="86" t="s">
        <v>194</v>
      </c>
      <c r="D33" s="94" t="s">
        <v>209</v>
      </c>
      <c r="E33" s="94" t="s">
        <v>210</v>
      </c>
      <c r="F33" s="94" t="s">
        <v>170</v>
      </c>
      <c r="G33" s="94" t="s">
        <v>172</v>
      </c>
      <c r="K33" s="94"/>
      <c r="L33" s="94"/>
      <c r="M33" s="94"/>
      <c r="O33" s="86" t="s">
        <v>176</v>
      </c>
      <c r="P33" s="103">
        <v>9.199218813582688E-2</v>
      </c>
      <c r="Q33" s="86" t="s">
        <v>188</v>
      </c>
      <c r="U33" s="86">
        <v>9.9599999999999994E-2</v>
      </c>
      <c r="V33" s="86">
        <v>2.2000000000000001E-3</v>
      </c>
      <c r="W33" s="149">
        <v>-7.6383653254750147E-2</v>
      </c>
      <c r="X33" s="86" t="s">
        <v>1473</v>
      </c>
      <c r="Y33" s="86" t="s">
        <v>1425</v>
      </c>
      <c r="Z33" s="103">
        <v>0.63498110317500522</v>
      </c>
      <c r="AA33" s="86" t="s">
        <v>188</v>
      </c>
      <c r="AE33" s="86">
        <v>0.8</v>
      </c>
      <c r="AF33" s="86">
        <v>0.02</v>
      </c>
      <c r="AG33" s="149">
        <v>-0.20627362103124353</v>
      </c>
      <c r="AH33" s="86" t="s">
        <v>1473</v>
      </c>
      <c r="AI33" s="86" t="s">
        <v>1426</v>
      </c>
      <c r="AJ33" s="86">
        <v>0.88132056380384538</v>
      </c>
      <c r="AK33" s="86" t="s">
        <v>188</v>
      </c>
      <c r="AO33" s="86">
        <v>0.91500000000000004</v>
      </c>
      <c r="AP33" s="86">
        <v>1.6E-2</v>
      </c>
      <c r="AQ33" s="149">
        <v>-3.6808126990332958E-2</v>
      </c>
      <c r="AR33" s="86" t="s">
        <v>1474</v>
      </c>
    </row>
    <row r="34" spans="1:44">
      <c r="A34" s="78">
        <v>3</v>
      </c>
      <c r="B34" s="86" t="s">
        <v>152</v>
      </c>
      <c r="D34" s="94" t="s">
        <v>209</v>
      </c>
      <c r="E34" s="94" t="s">
        <v>210</v>
      </c>
      <c r="F34" s="94" t="s">
        <v>170</v>
      </c>
      <c r="G34" s="94" t="s">
        <v>172</v>
      </c>
      <c r="K34" s="94"/>
      <c r="L34" s="94"/>
      <c r="M34" s="94"/>
      <c r="O34" s="86" t="s">
        <v>176</v>
      </c>
      <c r="P34" s="103">
        <v>124.88343511612931</v>
      </c>
      <c r="Q34" s="86" t="s">
        <v>188</v>
      </c>
      <c r="U34" s="86">
        <v>130.9</v>
      </c>
      <c r="V34" s="86">
        <v>1</v>
      </c>
      <c r="W34" s="149">
        <v>-4.5963062520020623E-2</v>
      </c>
      <c r="X34" s="86" t="s">
        <v>1473</v>
      </c>
      <c r="Y34" s="86" t="s">
        <v>1425</v>
      </c>
      <c r="Z34" s="103">
        <v>216.49935861209258</v>
      </c>
      <c r="AA34" s="86" t="s">
        <v>188</v>
      </c>
      <c r="AE34" s="86">
        <v>218.1</v>
      </c>
      <c r="AF34" s="86">
        <v>2.7</v>
      </c>
      <c r="AG34" s="149">
        <v>-7.3390251623448692E-3</v>
      </c>
      <c r="AH34" s="86" t="s">
        <v>1473</v>
      </c>
      <c r="AI34" s="86" t="s">
        <v>1426</v>
      </c>
      <c r="AJ34" s="86">
        <v>171.24987028836924</v>
      </c>
      <c r="AK34" s="86" t="s">
        <v>188</v>
      </c>
      <c r="AO34" s="86">
        <v>172.8</v>
      </c>
      <c r="AP34" s="86">
        <v>1.9</v>
      </c>
      <c r="AQ34" s="149">
        <v>-8.9706580534188295E-3</v>
      </c>
      <c r="AR34" s="86" t="s">
        <v>1474</v>
      </c>
    </row>
    <row r="35" spans="1:44">
      <c r="A35" s="78">
        <v>3</v>
      </c>
      <c r="B35" s="86" t="s">
        <v>153</v>
      </c>
      <c r="D35" s="94" t="s">
        <v>209</v>
      </c>
      <c r="E35" s="94" t="s">
        <v>210</v>
      </c>
      <c r="F35" s="94" t="s">
        <v>170</v>
      </c>
      <c r="G35" s="94" t="s">
        <v>172</v>
      </c>
      <c r="K35" s="94"/>
      <c r="L35" s="94"/>
      <c r="M35" s="94"/>
      <c r="O35" s="86" t="s">
        <v>176</v>
      </c>
      <c r="P35" s="103">
        <v>14.725907007755628</v>
      </c>
      <c r="Q35" s="86" t="s">
        <v>188</v>
      </c>
      <c r="U35" s="86">
        <v>15.2</v>
      </c>
      <c r="V35" s="86">
        <v>0.08</v>
      </c>
      <c r="W35" s="149">
        <v>-3.1190328437129662E-2</v>
      </c>
      <c r="X35" s="86" t="s">
        <v>1473</v>
      </c>
      <c r="Y35" s="86" t="s">
        <v>1425</v>
      </c>
      <c r="Z35" s="103">
        <v>2.248136768122484</v>
      </c>
      <c r="AA35" s="86" t="s">
        <v>188</v>
      </c>
      <c r="AE35" s="86">
        <v>2.2810000000000001</v>
      </c>
      <c r="AF35" s="86">
        <v>3.6999999999999998E-2</v>
      </c>
      <c r="AG35" s="149">
        <v>-1.4407379165943078E-2</v>
      </c>
      <c r="AH35" s="86" t="s">
        <v>1473</v>
      </c>
      <c r="AI35" s="86" t="s">
        <v>1426</v>
      </c>
      <c r="AJ35" s="86">
        <v>10.635149374674867</v>
      </c>
      <c r="AK35" s="86" t="s">
        <v>188</v>
      </c>
      <c r="AO35" s="86">
        <v>10.63</v>
      </c>
      <c r="AP35" s="86">
        <v>0.12</v>
      </c>
      <c r="AQ35" s="149">
        <v>4.8441906630917547E-4</v>
      </c>
      <c r="AR35" s="86" t="s">
        <v>1474</v>
      </c>
    </row>
    <row r="36" spans="1:44">
      <c r="A36" s="78">
        <v>3</v>
      </c>
      <c r="B36" s="86" t="s">
        <v>154</v>
      </c>
      <c r="D36" s="94" t="s">
        <v>209</v>
      </c>
      <c r="E36" s="94" t="s">
        <v>210</v>
      </c>
      <c r="F36" s="94" t="s">
        <v>170</v>
      </c>
      <c r="G36" s="94" t="s">
        <v>172</v>
      </c>
      <c r="K36" s="94"/>
      <c r="L36" s="94"/>
      <c r="M36" s="94"/>
      <c r="O36" s="86" t="s">
        <v>176</v>
      </c>
      <c r="P36" s="103">
        <v>35.73126464299245</v>
      </c>
      <c r="Q36" s="86" t="s">
        <v>188</v>
      </c>
      <c r="U36" s="86">
        <v>37.53</v>
      </c>
      <c r="V36" s="86">
        <v>0.19</v>
      </c>
      <c r="W36" s="149">
        <v>-4.7927933839796197E-2</v>
      </c>
      <c r="X36" s="86" t="s">
        <v>1473</v>
      </c>
      <c r="Y36" s="86" t="s">
        <v>1425</v>
      </c>
      <c r="Z36" s="103">
        <v>6.3744927477414848</v>
      </c>
      <c r="AA36" s="86" t="s">
        <v>188</v>
      </c>
      <c r="AE36" s="86">
        <v>6.5519999999999996</v>
      </c>
      <c r="AF36" s="86">
        <v>8.6999999999999994E-2</v>
      </c>
      <c r="AG36" s="149">
        <v>-2.7092071468027296E-2</v>
      </c>
      <c r="AH36" s="86" t="s">
        <v>1473</v>
      </c>
      <c r="AI36" s="86" t="s">
        <v>1426</v>
      </c>
      <c r="AJ36" s="86">
        <v>23.219105040535659</v>
      </c>
      <c r="AK36" s="86" t="s">
        <v>188</v>
      </c>
      <c r="AO36" s="86">
        <v>23.21</v>
      </c>
      <c r="AP36" s="86">
        <v>0.17</v>
      </c>
      <c r="AQ36" s="149">
        <v>3.9228955345361067E-4</v>
      </c>
      <c r="AR36" s="86" t="s">
        <v>1474</v>
      </c>
    </row>
    <row r="37" spans="1:44">
      <c r="A37" s="78">
        <v>3</v>
      </c>
      <c r="B37" s="86" t="s">
        <v>195</v>
      </c>
      <c r="D37" s="94" t="s">
        <v>209</v>
      </c>
      <c r="E37" s="94" t="s">
        <v>210</v>
      </c>
      <c r="F37" s="94" t="s">
        <v>170</v>
      </c>
      <c r="G37" s="94" t="s">
        <v>172</v>
      </c>
      <c r="K37" s="94"/>
      <c r="L37" s="94"/>
      <c r="M37" s="94"/>
      <c r="O37" s="86" t="s">
        <v>176</v>
      </c>
      <c r="P37" s="103">
        <v>4.9362471509409982</v>
      </c>
      <c r="Q37" s="86" t="s">
        <v>188</v>
      </c>
      <c r="U37" s="86">
        <v>5.3390000000000004</v>
      </c>
      <c r="V37" s="86">
        <v>2.8000000000000001E-2</v>
      </c>
      <c r="W37" s="149">
        <v>-7.5436008439595845E-2</v>
      </c>
      <c r="X37" s="86" t="s">
        <v>1473</v>
      </c>
      <c r="Y37" s="86" t="s">
        <v>1425</v>
      </c>
      <c r="Z37" s="103">
        <v>1.1006865506294969</v>
      </c>
      <c r="AA37" s="86" t="s">
        <v>188</v>
      </c>
      <c r="AE37" s="86">
        <v>1.129</v>
      </c>
      <c r="AF37" s="86">
        <v>2.4E-2</v>
      </c>
      <c r="AG37" s="149">
        <v>-2.5078343109391554E-2</v>
      </c>
      <c r="AH37" s="86" t="s">
        <v>1473</v>
      </c>
      <c r="AI37" s="86" t="s">
        <v>1426</v>
      </c>
      <c r="AJ37" s="86">
        <v>2.9529157416828191</v>
      </c>
      <c r="AK37" s="86" t="s">
        <v>188</v>
      </c>
      <c r="AO37" s="86">
        <v>3.0179999999999998</v>
      </c>
      <c r="AP37" s="86">
        <v>3.3000000000000002E-2</v>
      </c>
      <c r="AQ37" s="149">
        <v>-2.1565360608741115E-2</v>
      </c>
      <c r="AR37" s="86" t="s">
        <v>1474</v>
      </c>
    </row>
    <row r="38" spans="1:44">
      <c r="A38" s="78">
        <v>3</v>
      </c>
      <c r="B38" s="86" t="s">
        <v>155</v>
      </c>
      <c r="D38" s="94" t="s">
        <v>209</v>
      </c>
      <c r="E38" s="94" t="s">
        <v>210</v>
      </c>
      <c r="F38" s="94" t="s">
        <v>170</v>
      </c>
      <c r="G38" s="94" t="s">
        <v>172</v>
      </c>
      <c r="K38" s="94"/>
      <c r="L38" s="94"/>
      <c r="M38" s="94"/>
      <c r="O38" s="86" t="s">
        <v>176</v>
      </c>
      <c r="P38" s="103">
        <v>22.686302896472768</v>
      </c>
      <c r="Q38" s="86" t="s">
        <v>188</v>
      </c>
      <c r="U38" s="86">
        <v>24.27</v>
      </c>
      <c r="V38" s="86">
        <v>0.25</v>
      </c>
      <c r="W38" s="149">
        <v>-6.5253279914595466E-2</v>
      </c>
      <c r="X38" s="86" t="s">
        <v>1473</v>
      </c>
      <c r="Y38" s="86" t="s">
        <v>1425</v>
      </c>
      <c r="Z38" s="103">
        <v>6.1527630753253755</v>
      </c>
      <c r="AA38" s="86" t="s">
        <v>188</v>
      </c>
      <c r="AE38" s="86">
        <v>6.3920000000000003</v>
      </c>
      <c r="AF38" s="86">
        <v>6.3E-2</v>
      </c>
      <c r="AG38" s="149">
        <v>-3.7427553922813654E-2</v>
      </c>
      <c r="AH38" s="86" t="s">
        <v>1473</v>
      </c>
      <c r="AI38" s="86" t="s">
        <v>1426</v>
      </c>
      <c r="AJ38" s="86">
        <v>12.660959148170168</v>
      </c>
      <c r="AK38" s="86" t="s">
        <v>188</v>
      </c>
      <c r="AO38" s="86">
        <v>13.09</v>
      </c>
      <c r="AP38" s="86">
        <v>0.12</v>
      </c>
      <c r="AQ38" s="149">
        <v>-3.2776230086312613E-2</v>
      </c>
      <c r="AR38" s="86" t="s">
        <v>1474</v>
      </c>
    </row>
    <row r="39" spans="1:44">
      <c r="A39" s="78">
        <v>3</v>
      </c>
      <c r="B39" s="86" t="s">
        <v>196</v>
      </c>
      <c r="D39" s="94" t="s">
        <v>209</v>
      </c>
      <c r="E39" s="94" t="s">
        <v>210</v>
      </c>
      <c r="F39" s="94" t="s">
        <v>170</v>
      </c>
      <c r="G39" s="94" t="s">
        <v>172</v>
      </c>
      <c r="K39" s="94"/>
      <c r="L39" s="94"/>
      <c r="M39" s="94"/>
      <c r="O39" s="86" t="s">
        <v>176</v>
      </c>
      <c r="P39" s="103">
        <v>5.6707925595139095</v>
      </c>
      <c r="Q39" s="86" t="s">
        <v>188</v>
      </c>
      <c r="U39" s="86">
        <v>6.0229999999999997</v>
      </c>
      <c r="V39" s="86">
        <v>5.7000000000000002E-2</v>
      </c>
      <c r="W39" s="149">
        <v>-5.8477077948877673E-2</v>
      </c>
      <c r="X39" s="86" t="s">
        <v>1473</v>
      </c>
      <c r="Y39" s="86" t="s">
        <v>1425</v>
      </c>
      <c r="Z39" s="103">
        <v>2.1760804370485811</v>
      </c>
      <c r="AA39" s="86" t="s">
        <v>188</v>
      </c>
      <c r="AE39" s="86">
        <v>2.266</v>
      </c>
      <c r="AF39" s="86">
        <v>2.3E-2</v>
      </c>
      <c r="AG39" s="149">
        <v>-3.9682066615807102E-2</v>
      </c>
      <c r="AH39" s="86" t="s">
        <v>1473</v>
      </c>
      <c r="AI39" s="86" t="s">
        <v>1426</v>
      </c>
      <c r="AJ39" s="86">
        <v>3.2667503826591426</v>
      </c>
      <c r="AK39" s="86" t="s">
        <v>188</v>
      </c>
      <c r="AO39" s="86">
        <v>3.3</v>
      </c>
      <c r="AP39" s="86">
        <v>0.13</v>
      </c>
      <c r="AQ39" s="149">
        <v>-1.0075641618441572E-2</v>
      </c>
      <c r="AR39" s="86" t="s">
        <v>1474</v>
      </c>
    </row>
    <row r="40" spans="1:44">
      <c r="A40" s="78">
        <v>3</v>
      </c>
      <c r="B40" s="86" t="s">
        <v>197</v>
      </c>
      <c r="D40" s="94" t="s">
        <v>209</v>
      </c>
      <c r="E40" s="94" t="s">
        <v>210</v>
      </c>
      <c r="F40" s="94" t="s">
        <v>170</v>
      </c>
      <c r="G40" s="94" t="s">
        <v>172</v>
      </c>
      <c r="K40" s="94"/>
      <c r="L40" s="94"/>
      <c r="M40" s="94"/>
      <c r="O40" s="86" t="s">
        <v>176</v>
      </c>
      <c r="P40" s="103">
        <v>1.8299659141476952</v>
      </c>
      <c r="Q40" s="86" t="s">
        <v>188</v>
      </c>
      <c r="U40" s="86">
        <v>2.0430000000000001</v>
      </c>
      <c r="V40" s="86">
        <v>1.2E-2</v>
      </c>
      <c r="W40" s="149">
        <v>-0.10427512768101076</v>
      </c>
      <c r="X40" s="86" t="s">
        <v>1473</v>
      </c>
      <c r="Y40" s="86" t="s">
        <v>1425</v>
      </c>
      <c r="Z40" s="103">
        <v>0.78524624313428204</v>
      </c>
      <c r="AA40" s="86" t="s">
        <v>188</v>
      </c>
      <c r="AE40" s="86">
        <v>0.83599999999999997</v>
      </c>
      <c r="AF40" s="86">
        <v>1.2E-2</v>
      </c>
      <c r="AG40" s="149">
        <v>-6.0710235485308524E-2</v>
      </c>
      <c r="AH40" s="86" t="s">
        <v>1473</v>
      </c>
      <c r="AI40" s="86" t="s">
        <v>1426</v>
      </c>
      <c r="AJ40" s="86">
        <v>1.0165652992423693</v>
      </c>
      <c r="AK40" s="86" t="s">
        <v>188</v>
      </c>
      <c r="AO40" s="86">
        <v>1.091</v>
      </c>
      <c r="AP40" s="86">
        <v>1.0999999999999999E-2</v>
      </c>
      <c r="AQ40" s="149">
        <v>-6.8226123517535014E-2</v>
      </c>
      <c r="AR40" s="86" t="s">
        <v>1474</v>
      </c>
    </row>
    <row r="41" spans="1:44">
      <c r="A41" s="78">
        <v>3</v>
      </c>
      <c r="B41" s="86" t="s">
        <v>198</v>
      </c>
      <c r="D41" s="94" t="s">
        <v>209</v>
      </c>
      <c r="E41" s="94" t="s">
        <v>210</v>
      </c>
      <c r="F41" s="94" t="s">
        <v>170</v>
      </c>
      <c r="G41" s="94" t="s">
        <v>172</v>
      </c>
      <c r="K41" s="94"/>
      <c r="L41" s="94"/>
      <c r="M41" s="94"/>
      <c r="O41" s="86" t="s">
        <v>176</v>
      </c>
      <c r="P41" s="103">
        <v>5.844417345275323</v>
      </c>
      <c r="Q41" s="86" t="s">
        <v>188</v>
      </c>
      <c r="U41" s="86">
        <v>6.2069999999999999</v>
      </c>
      <c r="V41" s="86">
        <v>3.7999999999999999E-2</v>
      </c>
      <c r="W41" s="149">
        <v>-5.8415120786962607E-2</v>
      </c>
      <c r="X41" s="86" t="s">
        <v>1473</v>
      </c>
      <c r="Y41" s="86" t="s">
        <v>1425</v>
      </c>
      <c r="Z41" s="103">
        <v>3.1814769583147022</v>
      </c>
      <c r="AA41" s="86" t="s">
        <v>188</v>
      </c>
      <c r="AE41" s="86">
        <v>3.1230000000000002</v>
      </c>
      <c r="AF41" s="86">
        <v>4.9000000000000002E-2</v>
      </c>
      <c r="AG41" s="149">
        <v>1.8724610411367918E-2</v>
      </c>
      <c r="AH41" s="86" t="s">
        <v>1473</v>
      </c>
      <c r="AI41" s="86" t="s">
        <v>1426</v>
      </c>
      <c r="AJ41" s="86">
        <v>3.8218842903514259</v>
      </c>
      <c r="AK41" s="86" t="s">
        <v>188</v>
      </c>
      <c r="AO41" s="86">
        <v>3.7130000000000001</v>
      </c>
      <c r="AP41" s="86">
        <v>3.9E-2</v>
      </c>
      <c r="AQ41" s="149">
        <v>2.9325152262705566E-2</v>
      </c>
      <c r="AR41" s="86" t="s">
        <v>1474</v>
      </c>
    </row>
    <row r="42" spans="1:44">
      <c r="A42" s="78">
        <v>3</v>
      </c>
      <c r="B42" s="86" t="s">
        <v>199</v>
      </c>
      <c r="D42" s="94" t="s">
        <v>209</v>
      </c>
      <c r="E42" s="94" t="s">
        <v>210</v>
      </c>
      <c r="F42" s="94" t="s">
        <v>170</v>
      </c>
      <c r="G42" s="94" t="s">
        <v>172</v>
      </c>
      <c r="K42" s="94"/>
      <c r="L42" s="94"/>
      <c r="M42" s="94"/>
      <c r="O42" s="86" t="s">
        <v>176</v>
      </c>
      <c r="P42" s="103">
        <v>0.8759615371480638</v>
      </c>
      <c r="Q42" s="86" t="s">
        <v>188</v>
      </c>
      <c r="U42" s="86">
        <v>0.93920000000000003</v>
      </c>
      <c r="V42" s="86">
        <v>6.0000000000000001E-3</v>
      </c>
      <c r="W42" s="149">
        <v>-6.7332264535707231E-2</v>
      </c>
      <c r="X42" s="86" t="s">
        <v>1473</v>
      </c>
      <c r="Y42" s="86" t="s">
        <v>1425</v>
      </c>
      <c r="Z42" s="103">
        <v>0.54424343658572283</v>
      </c>
      <c r="AA42" s="86" t="s">
        <v>188</v>
      </c>
      <c r="AE42" s="86">
        <v>0.58630000000000004</v>
      </c>
      <c r="AF42" s="86">
        <v>9.5999999999999992E-3</v>
      </c>
      <c r="AG42" s="149">
        <v>-7.1732156599483565E-2</v>
      </c>
      <c r="AH42" s="86" t="s">
        <v>1473</v>
      </c>
      <c r="AI42" s="86" t="s">
        <v>1426</v>
      </c>
      <c r="AJ42" s="86">
        <v>0.60354238401211169</v>
      </c>
      <c r="AK42" s="86" t="s">
        <v>188</v>
      </c>
      <c r="AO42" s="86">
        <v>0.627</v>
      </c>
      <c r="AP42" s="86">
        <v>8.2000000000000007E-3</v>
      </c>
      <c r="AQ42" s="149">
        <v>-3.7412465690411983E-2</v>
      </c>
      <c r="AR42" s="86" t="s">
        <v>1474</v>
      </c>
    </row>
    <row r="43" spans="1:44">
      <c r="A43" s="78">
        <v>3</v>
      </c>
      <c r="B43" s="86" t="s">
        <v>200</v>
      </c>
      <c r="D43" s="94" t="s">
        <v>209</v>
      </c>
      <c r="E43" s="94" t="s">
        <v>210</v>
      </c>
      <c r="F43" s="94" t="s">
        <v>170</v>
      </c>
      <c r="G43" s="94" t="s">
        <v>172</v>
      </c>
      <c r="K43" s="94"/>
      <c r="L43" s="94"/>
      <c r="M43" s="94"/>
      <c r="O43" s="86" t="s">
        <v>176</v>
      </c>
      <c r="P43" s="103">
        <v>5.065049640548053</v>
      </c>
      <c r="Q43" s="86" t="s">
        <v>188</v>
      </c>
      <c r="U43" s="86">
        <v>5.28</v>
      </c>
      <c r="V43" s="86">
        <v>2.8000000000000001E-2</v>
      </c>
      <c r="W43" s="149">
        <v>-4.0710295350747591E-2</v>
      </c>
      <c r="X43" s="86" t="s">
        <v>1473</v>
      </c>
      <c r="Y43" s="86" t="s">
        <v>1425</v>
      </c>
      <c r="Z43" s="103">
        <v>3.92597059720124</v>
      </c>
      <c r="AA43" s="86" t="s">
        <v>188</v>
      </c>
      <c r="AE43" s="86">
        <v>3.8679999999999999</v>
      </c>
      <c r="AF43" s="86">
        <v>6.4000000000000001E-2</v>
      </c>
      <c r="AG43" s="149">
        <v>1.4987227818314399E-2</v>
      </c>
      <c r="AH43" s="86" t="s">
        <v>1473</v>
      </c>
      <c r="AI43" s="86" t="s">
        <v>1426</v>
      </c>
      <c r="AJ43" s="86">
        <v>3.7447779674036168</v>
      </c>
      <c r="AK43" s="86" t="s">
        <v>188</v>
      </c>
      <c r="AO43" s="86">
        <v>3.806</v>
      </c>
      <c r="AP43" s="86">
        <v>2.9000000000000001E-2</v>
      </c>
      <c r="AQ43" s="149">
        <v>-1.6085662794635643E-2</v>
      </c>
      <c r="AR43" s="86" t="s">
        <v>1474</v>
      </c>
    </row>
    <row r="44" spans="1:44">
      <c r="A44" s="78">
        <v>3</v>
      </c>
      <c r="B44" s="86" t="s">
        <v>201</v>
      </c>
      <c r="D44" s="94" t="s">
        <v>209</v>
      </c>
      <c r="E44" s="94" t="s">
        <v>210</v>
      </c>
      <c r="F44" s="94" t="s">
        <v>170</v>
      </c>
      <c r="G44" s="94" t="s">
        <v>172</v>
      </c>
      <c r="K44" s="94"/>
      <c r="L44" s="94"/>
      <c r="M44" s="94"/>
      <c r="O44" s="86" t="s">
        <v>176</v>
      </c>
      <c r="P44" s="103">
        <v>0.89638519251743187</v>
      </c>
      <c r="Q44" s="86" t="s">
        <v>188</v>
      </c>
      <c r="U44" s="86">
        <v>0.98870000000000002</v>
      </c>
      <c r="V44" s="86">
        <v>5.3E-3</v>
      </c>
      <c r="W44" s="149">
        <v>-9.3369887208018768E-2</v>
      </c>
      <c r="X44" s="86" t="s">
        <v>1473</v>
      </c>
      <c r="Y44" s="86" t="s">
        <v>1425</v>
      </c>
      <c r="Z44" s="103">
        <v>0.81848568372643082</v>
      </c>
      <c r="AA44" s="86" t="s">
        <v>188</v>
      </c>
      <c r="AE44" s="86">
        <v>0.86299999999999999</v>
      </c>
      <c r="AF44" s="86">
        <v>1.7000000000000001E-2</v>
      </c>
      <c r="AG44" s="149">
        <v>-5.1580899505873891E-2</v>
      </c>
      <c r="AH44" s="86" t="s">
        <v>1473</v>
      </c>
      <c r="AI44" s="86" t="s">
        <v>1426</v>
      </c>
      <c r="AJ44" s="86">
        <v>0.80546273696088166</v>
      </c>
      <c r="AK44" s="86" t="s">
        <v>188</v>
      </c>
      <c r="AO44" s="86">
        <v>0.79079999999999995</v>
      </c>
      <c r="AP44" s="86">
        <v>6.1000000000000004E-3</v>
      </c>
      <c r="AQ44" s="149">
        <v>1.8541650178150883E-2</v>
      </c>
      <c r="AR44" s="86" t="s">
        <v>1474</v>
      </c>
    </row>
    <row r="45" spans="1:44">
      <c r="A45" s="78">
        <v>3</v>
      </c>
      <c r="B45" s="86" t="s">
        <v>202</v>
      </c>
      <c r="D45" s="94" t="s">
        <v>209</v>
      </c>
      <c r="E45" s="94" t="s">
        <v>210</v>
      </c>
      <c r="F45" s="94" t="s">
        <v>170</v>
      </c>
      <c r="G45" s="94" t="s">
        <v>172</v>
      </c>
      <c r="K45" s="94"/>
      <c r="L45" s="94"/>
      <c r="M45" s="94"/>
      <c r="O45" s="86" t="s">
        <v>176</v>
      </c>
      <c r="P45" s="103">
        <v>2.406545589832521</v>
      </c>
      <c r="Q45" s="86" t="s">
        <v>188</v>
      </c>
      <c r="U45" s="86">
        <v>2.5110000000000001</v>
      </c>
      <c r="V45" s="86">
        <v>1.4E-2</v>
      </c>
      <c r="W45" s="149">
        <v>-4.159872965650304E-2</v>
      </c>
      <c r="X45" s="86" t="s">
        <v>1473</v>
      </c>
      <c r="Y45" s="86" t="s">
        <v>1425</v>
      </c>
      <c r="Z45" s="103">
        <v>2.4858301154873712</v>
      </c>
      <c r="AA45" s="86" t="s">
        <v>188</v>
      </c>
      <c r="AE45" s="86">
        <v>2.5369999999999999</v>
      </c>
      <c r="AF45" s="86">
        <v>3.9E-2</v>
      </c>
      <c r="AG45" s="149">
        <v>-2.0169446004189483E-2</v>
      </c>
      <c r="AH45" s="86" t="s">
        <v>1473</v>
      </c>
      <c r="AI45" s="86" t="s">
        <v>1426</v>
      </c>
      <c r="AJ45" s="86">
        <v>2.2747658681392604</v>
      </c>
      <c r="AK45" s="86" t="s">
        <v>188</v>
      </c>
      <c r="AO45" s="86">
        <v>2.2080000000000002</v>
      </c>
      <c r="AP45" s="86">
        <v>2.5000000000000001E-2</v>
      </c>
      <c r="AQ45" s="149">
        <v>3.0238164918143212E-2</v>
      </c>
      <c r="AR45" s="86" t="s">
        <v>1474</v>
      </c>
    </row>
    <row r="46" spans="1:44">
      <c r="A46" s="78">
        <v>3</v>
      </c>
      <c r="B46" s="86" t="s">
        <v>203</v>
      </c>
      <c r="D46" s="94" t="s">
        <v>209</v>
      </c>
      <c r="E46" s="94" t="s">
        <v>210</v>
      </c>
      <c r="F46" s="94" t="s">
        <v>170</v>
      </c>
      <c r="G46" s="94" t="s">
        <v>172</v>
      </c>
      <c r="K46" s="94"/>
      <c r="L46" s="94"/>
      <c r="M46" s="94"/>
      <c r="O46" s="86" t="s">
        <v>176</v>
      </c>
      <c r="P46" s="103">
        <v>0.33478199102814304</v>
      </c>
      <c r="Q46" s="86" t="s">
        <v>188</v>
      </c>
      <c r="U46" s="86">
        <v>0.33489999999999998</v>
      </c>
      <c r="V46" s="86">
        <v>3.0999999999999999E-3</v>
      </c>
      <c r="W46" s="149">
        <v>-3.5237077293798463E-4</v>
      </c>
      <c r="X46" s="86" t="s">
        <v>1473</v>
      </c>
      <c r="Y46" s="86" t="s">
        <v>1425</v>
      </c>
      <c r="Z46" s="103">
        <v>0.39494346411572523</v>
      </c>
      <c r="AA46" s="86" t="s">
        <v>188</v>
      </c>
      <c r="AE46" s="86">
        <v>0.39300000000000002</v>
      </c>
      <c r="AF46" s="86">
        <v>1.2E-2</v>
      </c>
      <c r="AG46" s="149">
        <v>4.945201312277896E-3</v>
      </c>
      <c r="AH46" s="86" t="s">
        <v>1473</v>
      </c>
      <c r="AI46" s="86" t="s">
        <v>1426</v>
      </c>
      <c r="AJ46" s="86">
        <v>0.31120063920331659</v>
      </c>
      <c r="AK46" s="86" t="s">
        <v>188</v>
      </c>
      <c r="AO46" s="86">
        <v>0.33150000000000002</v>
      </c>
      <c r="AP46" s="86">
        <v>6.4000000000000003E-3</v>
      </c>
      <c r="AQ46" s="149">
        <v>-6.1234874198140055E-2</v>
      </c>
      <c r="AR46" s="86" t="s">
        <v>1474</v>
      </c>
    </row>
    <row r="47" spans="1:44">
      <c r="A47" s="78">
        <v>3</v>
      </c>
      <c r="B47" s="86" t="s">
        <v>204</v>
      </c>
      <c r="D47" s="94" t="s">
        <v>209</v>
      </c>
      <c r="E47" s="94" t="s">
        <v>210</v>
      </c>
      <c r="F47" s="94" t="s">
        <v>170</v>
      </c>
      <c r="G47" s="94" t="s">
        <v>172</v>
      </c>
      <c r="K47" s="94"/>
      <c r="L47" s="94"/>
      <c r="M47" s="94"/>
      <c r="O47" s="86" t="s">
        <v>176</v>
      </c>
      <c r="P47" s="103">
        <v>1.8198873068825914</v>
      </c>
      <c r="Q47" s="86" t="s">
        <v>188</v>
      </c>
      <c r="U47" s="86">
        <v>1.994</v>
      </c>
      <c r="V47" s="86">
        <v>2.7E-2</v>
      </c>
      <c r="W47" s="149">
        <v>-8.7318301463093592E-2</v>
      </c>
      <c r="X47" s="86" t="s">
        <v>1473</v>
      </c>
      <c r="Y47" s="86" t="s">
        <v>1425</v>
      </c>
      <c r="Z47" s="103">
        <v>2.4058237380656409</v>
      </c>
      <c r="AA47" s="86" t="s">
        <v>188</v>
      </c>
      <c r="AE47" s="86">
        <v>2.5289999999999999</v>
      </c>
      <c r="AF47" s="86">
        <v>3.4000000000000002E-2</v>
      </c>
      <c r="AG47" s="149">
        <v>-4.8705520733238056E-2</v>
      </c>
      <c r="AH47" s="86" t="s">
        <v>1473</v>
      </c>
      <c r="AI47" s="86" t="s">
        <v>1426</v>
      </c>
      <c r="AJ47" s="86">
        <v>1.9358455271817543</v>
      </c>
      <c r="AK47" s="86" t="s">
        <v>188</v>
      </c>
      <c r="AO47" s="86">
        <v>2.0539999999999998</v>
      </c>
      <c r="AP47" s="86">
        <v>1.6E-2</v>
      </c>
      <c r="AQ47" s="149">
        <v>-5.7524086084832303E-2</v>
      </c>
      <c r="AR47" s="86" t="s">
        <v>1474</v>
      </c>
    </row>
    <row r="48" spans="1:44">
      <c r="A48" s="78">
        <v>3</v>
      </c>
      <c r="B48" s="86" t="s">
        <v>205</v>
      </c>
      <c r="D48" s="94" t="s">
        <v>209</v>
      </c>
      <c r="E48" s="94" t="s">
        <v>210</v>
      </c>
      <c r="F48" s="94" t="s">
        <v>170</v>
      </c>
      <c r="G48" s="94" t="s">
        <v>172</v>
      </c>
      <c r="K48" s="94"/>
      <c r="L48" s="94"/>
      <c r="M48" s="94"/>
      <c r="O48" s="86" t="s">
        <v>176</v>
      </c>
      <c r="P48" s="103">
        <v>0.22619288771161766</v>
      </c>
      <c r="Q48" s="86" t="s">
        <v>188</v>
      </c>
      <c r="U48" s="86">
        <v>0.27539999999999998</v>
      </c>
      <c r="V48" s="86">
        <v>2.3999999999999998E-3</v>
      </c>
      <c r="W48" s="149">
        <v>-0.17867506277553494</v>
      </c>
      <c r="X48" s="86" t="s">
        <v>1473</v>
      </c>
      <c r="Y48" s="86" t="s">
        <v>1425</v>
      </c>
      <c r="Z48" s="103">
        <v>0.35187460478710009</v>
      </c>
      <c r="AA48" s="86" t="s">
        <v>188</v>
      </c>
      <c r="AE48" s="86">
        <v>0.38940000000000002</v>
      </c>
      <c r="AF48" s="86">
        <v>5.7999999999999996E-3</v>
      </c>
      <c r="AG48" s="149">
        <v>-9.6367219344889399E-2</v>
      </c>
      <c r="AH48" s="86" t="s">
        <v>1473</v>
      </c>
      <c r="AI48" s="86" t="s">
        <v>1426</v>
      </c>
      <c r="AJ48" s="86">
        <v>0.31212766085843535</v>
      </c>
      <c r="AK48" s="86" t="s">
        <v>188</v>
      </c>
      <c r="AO48" s="86">
        <v>0.309</v>
      </c>
      <c r="AP48" s="86">
        <v>3.3999999999999998E-3</v>
      </c>
      <c r="AQ48" s="149">
        <v>1.0121879800761666E-2</v>
      </c>
      <c r="AR48" s="86" t="s">
        <v>1474</v>
      </c>
    </row>
    <row r="49" spans="1:44">
      <c r="A49" s="78">
        <v>3</v>
      </c>
      <c r="B49" s="86" t="s">
        <v>206</v>
      </c>
      <c r="D49" s="94" t="s">
        <v>209</v>
      </c>
      <c r="E49" s="94" t="s">
        <v>210</v>
      </c>
      <c r="F49" s="94" t="s">
        <v>170</v>
      </c>
      <c r="G49" s="94" t="s">
        <v>172</v>
      </c>
      <c r="K49" s="94"/>
      <c r="L49" s="94"/>
      <c r="M49" s="94"/>
      <c r="O49" s="86" t="s">
        <v>176</v>
      </c>
      <c r="P49" s="103">
        <v>3.8994152404817002</v>
      </c>
      <c r="Q49" s="86" t="s">
        <v>188</v>
      </c>
      <c r="U49" s="86">
        <v>4.47</v>
      </c>
      <c r="V49" s="86">
        <v>2.5000000000000001E-2</v>
      </c>
      <c r="W49" s="149">
        <v>-0.1276475972076733</v>
      </c>
      <c r="X49" s="86" t="s">
        <v>1473</v>
      </c>
      <c r="Y49" s="86" t="s">
        <v>1425</v>
      </c>
      <c r="Z49" s="103">
        <v>1.2804496031219621</v>
      </c>
      <c r="AA49" s="86" t="s">
        <v>188</v>
      </c>
      <c r="AE49" s="86">
        <v>1.4870000000000001</v>
      </c>
      <c r="AF49" s="86">
        <v>3.3000000000000002E-2</v>
      </c>
      <c r="AG49" s="149">
        <v>-0.13890410011972965</v>
      </c>
      <c r="AH49" s="86" t="s">
        <v>1473</v>
      </c>
      <c r="AI49" s="86" t="s">
        <v>1426</v>
      </c>
      <c r="AJ49" s="86">
        <v>2.2164422702743565</v>
      </c>
      <c r="AK49" s="86" t="s">
        <v>188</v>
      </c>
      <c r="AO49" s="86">
        <v>2.444</v>
      </c>
      <c r="AP49" s="86">
        <v>4.1000000000000002E-2</v>
      </c>
      <c r="AQ49" s="149">
        <v>-9.3108727383651183E-2</v>
      </c>
      <c r="AR49" s="86" t="s">
        <v>1474</v>
      </c>
    </row>
    <row r="50" spans="1:44">
      <c r="A50" s="78">
        <v>3</v>
      </c>
      <c r="B50" s="86" t="s">
        <v>207</v>
      </c>
      <c r="D50" s="94" t="s">
        <v>209</v>
      </c>
      <c r="E50" s="94" t="s">
        <v>210</v>
      </c>
      <c r="F50" s="94" t="s">
        <v>170</v>
      </c>
      <c r="G50" s="94" t="s">
        <v>172</v>
      </c>
      <c r="K50" s="94"/>
      <c r="L50" s="94"/>
      <c r="M50" s="94"/>
      <c r="O50" s="86" t="s">
        <v>176</v>
      </c>
      <c r="P50" s="103">
        <v>1.1196660494452331</v>
      </c>
      <c r="Q50" s="86" t="s">
        <v>188</v>
      </c>
      <c r="U50" s="86">
        <v>1.1539999999999999</v>
      </c>
      <c r="V50" s="86">
        <v>1.9E-2</v>
      </c>
      <c r="W50" s="149">
        <v>-2.9752123530993803E-2</v>
      </c>
      <c r="X50" s="86" t="s">
        <v>1473</v>
      </c>
      <c r="Y50" s="86" t="s">
        <v>1425</v>
      </c>
      <c r="Z50" s="103">
        <v>3.327422489800836E-2</v>
      </c>
      <c r="AA50" s="86" t="s">
        <v>188</v>
      </c>
      <c r="AE50" s="86">
        <v>3.9600000000000003E-2</v>
      </c>
      <c r="AF50" s="86">
        <v>3.0000000000000001E-3</v>
      </c>
      <c r="AG50" s="149">
        <v>-0.15974179550483947</v>
      </c>
      <c r="AH50" s="86" t="s">
        <v>1473</v>
      </c>
      <c r="AI50" s="86" t="s">
        <v>1426</v>
      </c>
      <c r="AJ50" s="86">
        <v>0.43523355416471976</v>
      </c>
      <c r="AK50" s="86" t="s">
        <v>188</v>
      </c>
      <c r="AO50" s="86">
        <v>0.48899999999999999</v>
      </c>
      <c r="AP50" s="86">
        <v>1.4E-2</v>
      </c>
      <c r="AQ50" s="149">
        <v>-0.1099518319739882</v>
      </c>
      <c r="AR50" s="86" t="s">
        <v>1474</v>
      </c>
    </row>
    <row r="51" spans="1:44">
      <c r="A51" s="78">
        <v>3</v>
      </c>
      <c r="B51" s="86" t="s">
        <v>156</v>
      </c>
      <c r="D51" s="94" t="s">
        <v>209</v>
      </c>
      <c r="E51" s="94" t="s">
        <v>210</v>
      </c>
      <c r="F51" s="94" t="s">
        <v>170</v>
      </c>
      <c r="G51" s="94" t="s">
        <v>172</v>
      </c>
      <c r="K51" s="94"/>
      <c r="L51" s="94"/>
      <c r="M51" s="94"/>
      <c r="O51" s="86" t="s">
        <v>176</v>
      </c>
      <c r="P51" s="103">
        <v>1.3822350658814768</v>
      </c>
      <c r="Q51" s="86" t="s">
        <v>188</v>
      </c>
      <c r="U51" s="86">
        <v>1.653</v>
      </c>
      <c r="V51" s="86">
        <v>3.7999999999999999E-2</v>
      </c>
      <c r="W51" s="149">
        <v>-0.16380213800273635</v>
      </c>
      <c r="X51" s="86" t="s">
        <v>1473</v>
      </c>
      <c r="Y51" s="86" t="s">
        <v>1425</v>
      </c>
      <c r="Z51" s="103">
        <v>4.9881278995227358</v>
      </c>
      <c r="AA51" s="86" t="s">
        <v>188</v>
      </c>
      <c r="AE51" s="86">
        <v>5.25</v>
      </c>
      <c r="AF51" s="86">
        <v>0.11</v>
      </c>
      <c r="AG51" s="149">
        <v>-4.988040009090746E-2</v>
      </c>
      <c r="AH51" s="86" t="s">
        <v>1473</v>
      </c>
      <c r="AI51" s="86" t="s">
        <v>1426</v>
      </c>
      <c r="AJ51" s="86">
        <v>7.4699949301776964</v>
      </c>
      <c r="AK51" s="86" t="s">
        <v>188</v>
      </c>
      <c r="AO51" s="86">
        <v>7.83</v>
      </c>
      <c r="AP51" s="86">
        <v>0.19</v>
      </c>
      <c r="AQ51" s="149">
        <v>-4.5977658981137114E-2</v>
      </c>
      <c r="AR51" s="86" t="s">
        <v>1474</v>
      </c>
    </row>
    <row r="52" spans="1:44">
      <c r="A52" s="78">
        <v>3</v>
      </c>
      <c r="B52" s="86" t="s">
        <v>157</v>
      </c>
      <c r="D52" s="94" t="s">
        <v>209</v>
      </c>
      <c r="E52" s="94" t="s">
        <v>210</v>
      </c>
      <c r="F52" s="94" t="s">
        <v>170</v>
      </c>
      <c r="G52" s="94" t="s">
        <v>172</v>
      </c>
      <c r="K52" s="94"/>
      <c r="L52" s="94"/>
      <c r="M52" s="94"/>
      <c r="O52" s="86" t="s">
        <v>176</v>
      </c>
      <c r="P52" s="103">
        <v>1.1954194280276651</v>
      </c>
      <c r="Q52" s="86" t="s">
        <v>188</v>
      </c>
      <c r="U52" s="86">
        <v>1.224</v>
      </c>
      <c r="V52" s="86">
        <v>1.6E-2</v>
      </c>
      <c r="W52" s="149">
        <v>-2.3350140500273595E-2</v>
      </c>
      <c r="X52" s="86" t="s">
        <v>1473</v>
      </c>
      <c r="Y52" s="86" t="s">
        <v>1425</v>
      </c>
      <c r="Z52" s="103">
        <v>0.25745611056057788</v>
      </c>
      <c r="AA52" s="86" t="s">
        <v>188</v>
      </c>
      <c r="AE52" s="86">
        <v>0.2576</v>
      </c>
      <c r="AF52" s="86">
        <v>4.7999999999999996E-3</v>
      </c>
      <c r="AG52" s="149">
        <v>-5.5857701639020949E-4</v>
      </c>
      <c r="AH52" s="86" t="s">
        <v>1473</v>
      </c>
      <c r="AI52" s="86" t="s">
        <v>1426</v>
      </c>
      <c r="AJ52" s="86">
        <v>2.26461644466686</v>
      </c>
      <c r="AK52" s="86" t="s">
        <v>188</v>
      </c>
      <c r="AO52" s="86">
        <v>2.1789999999999998</v>
      </c>
      <c r="AP52" s="86">
        <v>3.1E-2</v>
      </c>
      <c r="AQ52" s="149">
        <v>3.9291622150922509E-2</v>
      </c>
      <c r="AR52" s="86" t="s">
        <v>1474</v>
      </c>
    </row>
    <row r="53" spans="1:44">
      <c r="A53" s="78">
        <v>3</v>
      </c>
      <c r="B53" s="86" t="s">
        <v>158</v>
      </c>
      <c r="D53" s="94" t="s">
        <v>209</v>
      </c>
      <c r="E53" s="94" t="s">
        <v>210</v>
      </c>
      <c r="F53" s="94" t="s">
        <v>170</v>
      </c>
      <c r="G53" s="94" t="s">
        <v>172</v>
      </c>
      <c r="K53" s="94"/>
      <c r="L53" s="94"/>
      <c r="M53" s="94"/>
      <c r="O53" s="86" t="s">
        <v>176</v>
      </c>
      <c r="P53" s="103">
        <v>0.331043150030843</v>
      </c>
      <c r="Q53" s="86" t="s">
        <v>188</v>
      </c>
      <c r="U53" s="86">
        <v>0.41199999999999998</v>
      </c>
      <c r="V53" s="86">
        <v>3.5000000000000003E-2</v>
      </c>
      <c r="W53" s="149">
        <v>-0.19649720866300238</v>
      </c>
      <c r="X53" s="86" t="s">
        <v>1473</v>
      </c>
      <c r="Y53" s="86" t="s">
        <v>1425</v>
      </c>
      <c r="Z53" s="103">
        <v>0.12191448115414155</v>
      </c>
      <c r="AA53" s="86" t="s">
        <v>188</v>
      </c>
      <c r="AE53" s="86">
        <v>0.15279999999999999</v>
      </c>
      <c r="AF53" s="86">
        <v>2.8E-3</v>
      </c>
      <c r="AG53" s="149">
        <v>-0.20213035893886414</v>
      </c>
      <c r="AH53" s="86" t="s">
        <v>1473</v>
      </c>
      <c r="AI53" s="86" t="s">
        <v>1426</v>
      </c>
      <c r="AJ53" s="86">
        <v>0.4956172338130575</v>
      </c>
      <c r="AK53" s="86" t="s">
        <v>188</v>
      </c>
      <c r="AO53" s="86">
        <v>0.50480000000000003</v>
      </c>
      <c r="AP53" s="86">
        <v>7.0000000000000001E-3</v>
      </c>
      <c r="AQ53" s="149">
        <v>-1.8190899736415463E-2</v>
      </c>
      <c r="AR53" s="86" t="s">
        <v>1474</v>
      </c>
    </row>
    <row r="54" spans="1:44">
      <c r="A54" s="78">
        <v>4</v>
      </c>
      <c r="B54" s="1" t="s">
        <v>32</v>
      </c>
      <c r="D54" s="94" t="s">
        <v>31</v>
      </c>
      <c r="E54" s="86" t="s">
        <v>175</v>
      </c>
      <c r="F54" s="86" t="s">
        <v>171</v>
      </c>
      <c r="G54" s="86" t="s">
        <v>173</v>
      </c>
      <c r="K54" s="94"/>
      <c r="L54" s="94"/>
      <c r="M54" s="94"/>
      <c r="O54" s="86" t="s">
        <v>176</v>
      </c>
      <c r="P54" s="86">
        <v>49.75</v>
      </c>
      <c r="Q54" s="86" t="s">
        <v>159</v>
      </c>
      <c r="U54" s="86">
        <v>49.6</v>
      </c>
      <c r="V54" s="86">
        <v>0.14000000000000001</v>
      </c>
      <c r="W54" s="149">
        <v>3.0241935483870681E-3</v>
      </c>
      <c r="X54" s="86" t="s">
        <v>1473</v>
      </c>
      <c r="Y54" s="86" t="s">
        <v>1427</v>
      </c>
      <c r="Z54" s="103">
        <v>54.08</v>
      </c>
      <c r="AA54" s="86" t="s">
        <v>159</v>
      </c>
      <c r="AE54" s="86">
        <v>54</v>
      </c>
      <c r="AF54" s="86">
        <v>0.2</v>
      </c>
      <c r="AG54" s="149">
        <v>1.48148148148145E-3</v>
      </c>
      <c r="AH54" s="86" t="s">
        <v>1473</v>
      </c>
      <c r="AQ54" s="149"/>
    </row>
    <row r="55" spans="1:44">
      <c r="A55" s="78">
        <v>4</v>
      </c>
      <c r="B55" s="1" t="s">
        <v>131</v>
      </c>
      <c r="D55" s="94" t="s">
        <v>31</v>
      </c>
      <c r="E55" s="86" t="s">
        <v>175</v>
      </c>
      <c r="F55" s="86" t="s">
        <v>171</v>
      </c>
      <c r="G55" s="86" t="s">
        <v>173</v>
      </c>
      <c r="K55" s="94"/>
      <c r="L55" s="94"/>
      <c r="M55" s="94"/>
      <c r="O55" s="86" t="s">
        <v>176</v>
      </c>
      <c r="P55" s="86">
        <v>2.7090000000000001</v>
      </c>
      <c r="Q55" s="86" t="s">
        <v>159</v>
      </c>
      <c r="U55" s="86">
        <v>2.7309999999999999</v>
      </c>
      <c r="V55" s="86">
        <v>1.7999999999999999E-2</v>
      </c>
      <c r="W55" s="149">
        <v>-8.0556572683997806E-3</v>
      </c>
      <c r="X55" s="86" t="s">
        <v>1473</v>
      </c>
      <c r="Y55" s="86" t="s">
        <v>1427</v>
      </c>
      <c r="Z55" s="103">
        <v>2.27</v>
      </c>
      <c r="AA55" s="86" t="s">
        <v>159</v>
      </c>
      <c r="AE55" s="86">
        <v>2.2650000000000001</v>
      </c>
      <c r="AF55" s="86">
        <v>2.4E-2</v>
      </c>
      <c r="AG55" s="149">
        <v>2.2075055187637496E-3</v>
      </c>
      <c r="AH55" s="86" t="s">
        <v>1473</v>
      </c>
      <c r="AQ55" s="149"/>
    </row>
    <row r="56" spans="1:44">
      <c r="A56" s="78">
        <v>4</v>
      </c>
      <c r="B56" s="86" t="s">
        <v>132</v>
      </c>
      <c r="D56" s="94" t="s">
        <v>31</v>
      </c>
      <c r="E56" s="86" t="s">
        <v>175</v>
      </c>
      <c r="F56" s="86" t="s">
        <v>171</v>
      </c>
      <c r="G56" s="86" t="s">
        <v>173</v>
      </c>
      <c r="K56" s="94"/>
      <c r="L56" s="94"/>
      <c r="M56" s="94"/>
      <c r="O56" s="86" t="s">
        <v>176</v>
      </c>
      <c r="P56" s="86">
        <v>13.29</v>
      </c>
      <c r="Q56" s="86" t="s">
        <v>159</v>
      </c>
      <c r="U56" s="86">
        <v>13.44</v>
      </c>
      <c r="V56" s="86">
        <v>0.06</v>
      </c>
      <c r="W56" s="149">
        <v>-1.1160714285714312E-2</v>
      </c>
      <c r="X56" s="86" t="s">
        <v>1473</v>
      </c>
      <c r="Y56" s="86" t="s">
        <v>1427</v>
      </c>
      <c r="Z56" s="103">
        <v>13.246</v>
      </c>
      <c r="AA56" s="86" t="s">
        <v>159</v>
      </c>
      <c r="AE56" s="86">
        <v>13.48</v>
      </c>
      <c r="AF56" s="86">
        <v>0.12</v>
      </c>
      <c r="AG56" s="149">
        <v>-1.7359050445103857E-2</v>
      </c>
      <c r="AH56" s="86" t="s">
        <v>1473</v>
      </c>
      <c r="AQ56" s="149"/>
    </row>
    <row r="57" spans="1:44">
      <c r="A57" s="78">
        <v>4</v>
      </c>
      <c r="B57" s="86" t="s">
        <v>133</v>
      </c>
      <c r="D57" s="94" t="s">
        <v>31</v>
      </c>
      <c r="E57" s="86" t="s">
        <v>175</v>
      </c>
      <c r="F57" s="86" t="s">
        <v>171</v>
      </c>
      <c r="G57" s="86" t="s">
        <v>173</v>
      </c>
      <c r="K57" s="94"/>
      <c r="L57" s="94"/>
      <c r="M57" s="94"/>
      <c r="O57" s="86" t="s">
        <v>176</v>
      </c>
      <c r="P57" s="86">
        <v>12.41</v>
      </c>
      <c r="Q57" s="86" t="s">
        <v>159</v>
      </c>
      <c r="U57" s="86">
        <v>12.39</v>
      </c>
      <c r="V57" s="86">
        <v>0.09</v>
      </c>
      <c r="W57" s="149">
        <v>1.614205004035478E-3</v>
      </c>
      <c r="X57" s="86" t="s">
        <v>1473</v>
      </c>
      <c r="Y57" s="86" t="s">
        <v>1427</v>
      </c>
      <c r="Z57" s="103">
        <v>13.84</v>
      </c>
      <c r="AA57" s="86" t="s">
        <v>159</v>
      </c>
      <c r="AE57" s="86">
        <v>13.77</v>
      </c>
      <c r="AF57" s="86">
        <v>0.19</v>
      </c>
      <c r="AG57" s="149">
        <v>5.0835148874364766E-3</v>
      </c>
      <c r="AH57" s="86" t="s">
        <v>1473</v>
      </c>
      <c r="AQ57" s="149"/>
    </row>
    <row r="58" spans="1:44">
      <c r="A58" s="78">
        <v>4</v>
      </c>
      <c r="B58" s="86" t="s">
        <v>134</v>
      </c>
      <c r="D58" s="94" t="s">
        <v>31</v>
      </c>
      <c r="E58" s="86" t="s">
        <v>175</v>
      </c>
      <c r="F58" s="86" t="s">
        <v>171</v>
      </c>
      <c r="G58" s="86" t="s">
        <v>173</v>
      </c>
      <c r="K58" s="94"/>
      <c r="L58" s="94"/>
      <c r="M58" s="94"/>
      <c r="O58" s="86" t="s">
        <v>176</v>
      </c>
      <c r="P58" s="86">
        <v>0.16</v>
      </c>
      <c r="Q58" s="86" t="s">
        <v>159</v>
      </c>
      <c r="U58" s="86">
        <v>0.16900000000000001</v>
      </c>
      <c r="V58" s="86">
        <v>1.9E-3</v>
      </c>
      <c r="W58" s="149">
        <v>-5.3254437869822528E-2</v>
      </c>
      <c r="X58" s="86" t="s">
        <v>1473</v>
      </c>
      <c r="Y58" s="86" t="s">
        <v>1427</v>
      </c>
      <c r="Z58" s="103">
        <v>0.2</v>
      </c>
      <c r="AA58" s="86" t="s">
        <v>159</v>
      </c>
      <c r="AE58" s="86">
        <v>0.1966</v>
      </c>
      <c r="AF58" s="86">
        <v>3.0000000000000001E-3</v>
      </c>
      <c r="AG58" s="149">
        <v>1.7293997965412075E-2</v>
      </c>
      <c r="AH58" s="86" t="s">
        <v>1473</v>
      </c>
      <c r="AQ58" s="149"/>
    </row>
    <row r="59" spans="1:44">
      <c r="A59" s="78">
        <v>4</v>
      </c>
      <c r="B59" s="86" t="s">
        <v>135</v>
      </c>
      <c r="D59" s="94" t="s">
        <v>31</v>
      </c>
      <c r="E59" s="86" t="s">
        <v>175</v>
      </c>
      <c r="F59" s="86" t="s">
        <v>171</v>
      </c>
      <c r="G59" s="86" t="s">
        <v>173</v>
      </c>
      <c r="K59" s="94"/>
      <c r="L59" s="94"/>
      <c r="M59" s="94"/>
      <c r="O59" s="86" t="s">
        <v>176</v>
      </c>
      <c r="P59" s="86">
        <v>7.36</v>
      </c>
      <c r="Q59" s="86" t="s">
        <v>159</v>
      </c>
      <c r="U59" s="86">
        <v>7.2569999999999997</v>
      </c>
      <c r="V59" s="86">
        <v>4.2000000000000003E-2</v>
      </c>
      <c r="W59" s="149">
        <v>1.4193192779385511E-2</v>
      </c>
      <c r="X59" s="86" t="s">
        <v>1473</v>
      </c>
      <c r="Y59" s="86" t="s">
        <v>1427</v>
      </c>
      <c r="Z59" s="103">
        <v>3.71</v>
      </c>
      <c r="AA59" s="86" t="s">
        <v>159</v>
      </c>
      <c r="AE59" s="86">
        <v>3.5990000000000002</v>
      </c>
      <c r="AF59" s="86">
        <v>4.3999999999999997E-2</v>
      </c>
      <c r="AG59" s="149">
        <v>3.0841900527924355E-2</v>
      </c>
      <c r="AH59" s="86" t="s">
        <v>1473</v>
      </c>
      <c r="AQ59" s="149"/>
    </row>
    <row r="60" spans="1:44">
      <c r="A60" s="78">
        <v>4</v>
      </c>
      <c r="B60" s="86" t="s">
        <v>136</v>
      </c>
      <c r="D60" s="94" t="s">
        <v>31</v>
      </c>
      <c r="E60" s="86" t="s">
        <v>175</v>
      </c>
      <c r="F60" s="86" t="s">
        <v>171</v>
      </c>
      <c r="G60" s="86" t="s">
        <v>173</v>
      </c>
      <c r="K60" s="94"/>
      <c r="L60" s="94"/>
      <c r="M60" s="94"/>
      <c r="O60" s="86" t="s">
        <v>176</v>
      </c>
      <c r="P60" s="86">
        <v>11.22</v>
      </c>
      <c r="Q60" s="86" t="s">
        <v>159</v>
      </c>
      <c r="U60" s="86">
        <v>11.4</v>
      </c>
      <c r="V60" s="86">
        <v>0.06</v>
      </c>
      <c r="W60" s="149">
        <v>-1.5789473684210503E-2</v>
      </c>
      <c r="X60" s="86" t="s">
        <v>1473</v>
      </c>
      <c r="Y60" s="86" t="s">
        <v>1427</v>
      </c>
      <c r="Z60" s="103">
        <v>7</v>
      </c>
      <c r="AA60" s="86" t="s">
        <v>159</v>
      </c>
      <c r="AE60" s="86">
        <v>7.1139999999999999</v>
      </c>
      <c r="AF60" s="86">
        <v>7.4999999999999997E-2</v>
      </c>
      <c r="AG60" s="149">
        <v>-1.6024739949395541E-2</v>
      </c>
      <c r="AH60" s="86" t="s">
        <v>1473</v>
      </c>
      <c r="AQ60" s="149"/>
    </row>
    <row r="61" spans="1:44">
      <c r="A61" s="78">
        <v>4</v>
      </c>
      <c r="B61" s="86" t="s">
        <v>137</v>
      </c>
      <c r="D61" s="94" t="s">
        <v>31</v>
      </c>
      <c r="E61" s="86" t="s">
        <v>175</v>
      </c>
      <c r="F61" s="86" t="s">
        <v>171</v>
      </c>
      <c r="G61" s="86" t="s">
        <v>173</v>
      </c>
      <c r="K61" s="94"/>
      <c r="L61" s="94"/>
      <c r="M61" s="94"/>
      <c r="O61" s="86" t="s">
        <v>176</v>
      </c>
      <c r="P61" s="86">
        <v>2.27</v>
      </c>
      <c r="Q61" s="86" t="s">
        <v>159</v>
      </c>
      <c r="U61" s="86">
        <v>2.2189999999999999</v>
      </c>
      <c r="V61" s="86">
        <v>4.8000000000000001E-2</v>
      </c>
      <c r="W61" s="149">
        <v>2.2983325822442613E-2</v>
      </c>
      <c r="X61" s="86" t="s">
        <v>1473</v>
      </c>
      <c r="Y61" s="86" t="s">
        <v>1427</v>
      </c>
      <c r="Z61" s="103">
        <v>3.22</v>
      </c>
      <c r="AA61" s="86" t="s">
        <v>159</v>
      </c>
      <c r="AE61" s="86">
        <v>3.12</v>
      </c>
      <c r="AF61" s="86">
        <v>4.2000000000000003E-2</v>
      </c>
      <c r="AG61" s="149">
        <v>3.2051282051282076E-2</v>
      </c>
      <c r="AH61" s="86" t="s">
        <v>1473</v>
      </c>
      <c r="AQ61" s="149"/>
    </row>
    <row r="62" spans="1:44">
      <c r="A62" s="78">
        <v>4</v>
      </c>
      <c r="B62" s="86" t="s">
        <v>138</v>
      </c>
      <c r="D62" s="94" t="s">
        <v>31</v>
      </c>
      <c r="E62" s="86" t="s">
        <v>175</v>
      </c>
      <c r="F62" s="86" t="s">
        <v>171</v>
      </c>
      <c r="G62" s="86" t="s">
        <v>173</v>
      </c>
      <c r="K62" s="94"/>
      <c r="L62" s="94"/>
      <c r="M62" s="94"/>
      <c r="O62" s="86" t="s">
        <v>176</v>
      </c>
      <c r="P62" s="86">
        <v>0.51</v>
      </c>
      <c r="Q62" s="86" t="s">
        <v>159</v>
      </c>
      <c r="U62" s="86">
        <v>0.51300000000000001</v>
      </c>
      <c r="V62" s="86">
        <v>3.7000000000000002E-3</v>
      </c>
      <c r="W62" s="149">
        <v>-5.8479532163742739E-3</v>
      </c>
      <c r="X62" s="86" t="s">
        <v>1473</v>
      </c>
      <c r="Y62" s="86" t="s">
        <v>1427</v>
      </c>
      <c r="Z62" s="103">
        <v>1.78</v>
      </c>
      <c r="AA62" s="86" t="s">
        <v>159</v>
      </c>
      <c r="AE62" s="86">
        <v>1.774</v>
      </c>
      <c r="AF62" s="86">
        <v>1.9E-2</v>
      </c>
      <c r="AG62" s="149">
        <v>3.3821871476888417E-3</v>
      </c>
      <c r="AH62" s="86" t="s">
        <v>1473</v>
      </c>
      <c r="AQ62" s="149"/>
    </row>
    <row r="63" spans="1:44">
      <c r="A63" s="78">
        <v>4</v>
      </c>
      <c r="B63" s="86" t="s">
        <v>139</v>
      </c>
      <c r="D63" s="94" t="s">
        <v>31</v>
      </c>
      <c r="E63" s="86" t="s">
        <v>175</v>
      </c>
      <c r="F63" s="86" t="s">
        <v>171</v>
      </c>
      <c r="G63" s="86" t="s">
        <v>173</v>
      </c>
      <c r="K63" s="94"/>
      <c r="L63" s="94"/>
      <c r="M63" s="94"/>
      <c r="O63" s="86" t="s">
        <v>176</v>
      </c>
      <c r="P63" s="86">
        <v>0.25700000000000001</v>
      </c>
      <c r="Q63" s="86" t="s">
        <v>159</v>
      </c>
      <c r="U63" s="86">
        <v>0.26850000000000002</v>
      </c>
      <c r="V63" s="86">
        <v>5.0000000000000001E-3</v>
      </c>
      <c r="W63" s="149">
        <v>-4.2830540037243986E-2</v>
      </c>
      <c r="X63" s="86" t="s">
        <v>1473</v>
      </c>
      <c r="Y63" s="86" t="s">
        <v>1427</v>
      </c>
      <c r="Z63" s="103">
        <v>0.34</v>
      </c>
      <c r="AA63" s="86" t="s">
        <v>159</v>
      </c>
      <c r="AE63" s="86">
        <v>0.35930000000000001</v>
      </c>
      <c r="AF63" s="86">
        <v>9.4999999999999998E-3</v>
      </c>
      <c r="AG63" s="149">
        <v>-5.3715558029501766E-2</v>
      </c>
      <c r="AH63" s="86" t="s">
        <v>1473</v>
      </c>
      <c r="AQ63" s="149"/>
    </row>
    <row r="64" spans="1:44">
      <c r="A64" s="78">
        <v>5</v>
      </c>
      <c r="B64" s="86" t="s">
        <v>140</v>
      </c>
      <c r="D64" s="94" t="s">
        <v>174</v>
      </c>
      <c r="F64" s="86" t="s">
        <v>171</v>
      </c>
      <c r="G64" s="86" t="s">
        <v>173</v>
      </c>
      <c r="K64" s="94"/>
      <c r="L64" s="94"/>
      <c r="M64" s="94"/>
      <c r="W64" s="149"/>
      <c r="AG64" s="149"/>
      <c r="AQ64" s="149"/>
    </row>
    <row r="65" spans="1:43">
      <c r="A65" s="78">
        <v>6</v>
      </c>
      <c r="B65" s="86" t="s">
        <v>189</v>
      </c>
      <c r="D65" s="94" t="s">
        <v>209</v>
      </c>
      <c r="E65" s="86" t="s">
        <v>216</v>
      </c>
      <c r="F65" s="86" t="s">
        <v>171</v>
      </c>
      <c r="G65" s="86" t="s">
        <v>173</v>
      </c>
      <c r="K65" s="94"/>
      <c r="L65" s="94"/>
      <c r="M65" s="94"/>
      <c r="O65" s="86" t="s">
        <v>176</v>
      </c>
      <c r="P65" s="103">
        <v>4.2788213757247062</v>
      </c>
      <c r="Q65" s="86" t="s">
        <v>188</v>
      </c>
      <c r="U65" s="86">
        <v>4.5</v>
      </c>
      <c r="V65" s="86">
        <v>8.5000000000000006E-2</v>
      </c>
      <c r="W65" s="149">
        <v>-4.9150805394509729E-2</v>
      </c>
      <c r="X65" s="86" t="s">
        <v>1473</v>
      </c>
      <c r="Y65" s="86" t="s">
        <v>1427</v>
      </c>
      <c r="Z65" s="86">
        <v>8.7200000000000006</v>
      </c>
      <c r="AA65" s="86" t="s">
        <v>188</v>
      </c>
      <c r="AE65" s="86">
        <v>9.1300000000000008</v>
      </c>
      <c r="AF65" s="86">
        <v>0.22</v>
      </c>
      <c r="AG65" s="149">
        <v>-4.4906900328587088E-2</v>
      </c>
      <c r="AH65" s="86" t="s">
        <v>1473</v>
      </c>
      <c r="AQ65" s="149"/>
    </row>
    <row r="66" spans="1:43">
      <c r="A66" s="78">
        <v>6</v>
      </c>
      <c r="B66" s="86" t="s">
        <v>212</v>
      </c>
      <c r="D66" s="94" t="s">
        <v>209</v>
      </c>
      <c r="E66" s="86" t="s">
        <v>216</v>
      </c>
      <c r="F66" s="86" t="s">
        <v>171</v>
      </c>
      <c r="G66" s="86" t="s">
        <v>173</v>
      </c>
      <c r="K66" s="94"/>
      <c r="L66" s="94"/>
      <c r="M66" s="94"/>
      <c r="O66" s="86" t="s">
        <v>176</v>
      </c>
      <c r="P66" s="103">
        <v>1.0048552980179366</v>
      </c>
      <c r="Q66" s="86" t="s">
        <v>188</v>
      </c>
      <c r="U66" s="86">
        <v>1.0760000000000001</v>
      </c>
      <c r="V66" s="86">
        <v>4.5999999999999999E-2</v>
      </c>
      <c r="W66" s="149">
        <v>-6.6119611507493917E-2</v>
      </c>
      <c r="X66" s="86" t="s">
        <v>1473</v>
      </c>
      <c r="Y66" s="86" t="s">
        <v>1427</v>
      </c>
      <c r="Z66" s="86">
        <v>2.1</v>
      </c>
      <c r="AA66" s="86" t="s">
        <v>188</v>
      </c>
      <c r="AE66" s="86">
        <v>2.17</v>
      </c>
      <c r="AF66" s="86">
        <v>0.1</v>
      </c>
      <c r="AG66" s="149">
        <v>-3.2258064516128962E-2</v>
      </c>
      <c r="AH66" s="86" t="s">
        <v>1473</v>
      </c>
      <c r="AQ66" s="149"/>
    </row>
    <row r="67" spans="1:43">
      <c r="A67" s="78">
        <v>6</v>
      </c>
      <c r="B67" s="86" t="s">
        <v>190</v>
      </c>
      <c r="D67" s="94" t="s">
        <v>209</v>
      </c>
      <c r="E67" s="86" t="s">
        <v>216</v>
      </c>
      <c r="F67" s="86" t="s">
        <v>171</v>
      </c>
      <c r="G67" s="86" t="s">
        <v>173</v>
      </c>
      <c r="K67" s="94"/>
      <c r="L67" s="94"/>
      <c r="M67" s="94"/>
      <c r="O67" s="86" t="s">
        <v>176</v>
      </c>
      <c r="P67" s="103">
        <v>30.533975763666373</v>
      </c>
      <c r="Q67" s="86" t="s">
        <v>188</v>
      </c>
      <c r="U67" s="86">
        <v>31.83</v>
      </c>
      <c r="V67" s="86">
        <v>0.34</v>
      </c>
      <c r="W67" s="149">
        <v>-4.0717066802815761E-2</v>
      </c>
      <c r="X67" s="86" t="s">
        <v>1473</v>
      </c>
      <c r="Y67" s="86" t="s">
        <v>1427</v>
      </c>
      <c r="Z67" s="86">
        <v>32.42</v>
      </c>
      <c r="AA67" s="86" t="s">
        <v>188</v>
      </c>
      <c r="AE67" s="86">
        <v>33.53</v>
      </c>
      <c r="AF67" s="86">
        <v>0.4</v>
      </c>
      <c r="AG67" s="149">
        <v>-3.3104682373993423E-2</v>
      </c>
      <c r="AH67" s="86" t="s">
        <v>1473</v>
      </c>
      <c r="AQ67" s="149"/>
    </row>
    <row r="68" spans="1:43">
      <c r="A68" s="78">
        <v>6</v>
      </c>
      <c r="B68" s="86" t="s">
        <v>213</v>
      </c>
      <c r="D68" s="94" t="s">
        <v>209</v>
      </c>
      <c r="E68" s="86" t="s">
        <v>216</v>
      </c>
      <c r="F68" s="86" t="s">
        <v>171</v>
      </c>
      <c r="G68" s="86" t="s">
        <v>173</v>
      </c>
      <c r="K68" s="94"/>
      <c r="L68" s="94"/>
      <c r="M68" s="94"/>
      <c r="O68" s="86" t="s">
        <v>176</v>
      </c>
      <c r="P68" s="103">
        <v>332.6537900419105</v>
      </c>
      <c r="Q68" s="86" t="s">
        <v>188</v>
      </c>
      <c r="U68" s="86">
        <v>318.2</v>
      </c>
      <c r="V68" s="86">
        <v>2.2999999999999998</v>
      </c>
      <c r="W68" s="149">
        <v>4.5423601640196445E-2</v>
      </c>
      <c r="X68" s="86" t="s">
        <v>1473</v>
      </c>
      <c r="Y68" s="86" t="s">
        <v>1427</v>
      </c>
      <c r="Z68" s="86">
        <v>439.7</v>
      </c>
      <c r="AA68" s="86" t="s">
        <v>188</v>
      </c>
      <c r="AE68" s="86">
        <v>417.6</v>
      </c>
      <c r="AF68" s="86">
        <v>4.5</v>
      </c>
      <c r="AG68" s="149">
        <v>5.292145593869723E-2</v>
      </c>
      <c r="AH68" s="86" t="s">
        <v>1473</v>
      </c>
      <c r="AQ68" s="149"/>
    </row>
    <row r="69" spans="1:43">
      <c r="A69" s="78">
        <v>6</v>
      </c>
      <c r="B69" s="86" t="s">
        <v>142</v>
      </c>
      <c r="D69" s="94" t="s">
        <v>209</v>
      </c>
      <c r="E69" s="86" t="s">
        <v>216</v>
      </c>
      <c r="F69" s="86" t="s">
        <v>171</v>
      </c>
      <c r="G69" s="86" t="s">
        <v>173</v>
      </c>
      <c r="K69" s="94"/>
      <c r="L69" s="94"/>
      <c r="M69" s="94"/>
      <c r="O69" s="86" t="s">
        <v>176</v>
      </c>
      <c r="P69" s="103">
        <v>284.77317125138347</v>
      </c>
      <c r="Q69" s="86" t="s">
        <v>188</v>
      </c>
      <c r="U69" s="86">
        <v>287.2</v>
      </c>
      <c r="V69" s="86">
        <v>3.1</v>
      </c>
      <c r="W69" s="149">
        <v>-8.4499608238736597E-3</v>
      </c>
      <c r="X69" s="86" t="s">
        <v>1473</v>
      </c>
      <c r="Y69" s="86" t="s">
        <v>1427</v>
      </c>
      <c r="Z69" s="86">
        <v>17.09</v>
      </c>
      <c r="AA69" s="86" t="s">
        <v>188</v>
      </c>
      <c r="AE69" s="86">
        <v>15.85</v>
      </c>
      <c r="AF69" s="86">
        <v>0.38</v>
      </c>
      <c r="AG69" s="149">
        <v>7.8233438485804427E-2</v>
      </c>
      <c r="AH69" s="86" t="s">
        <v>1473</v>
      </c>
      <c r="AQ69" s="149"/>
    </row>
    <row r="70" spans="1:43">
      <c r="A70" s="78">
        <v>6</v>
      </c>
      <c r="B70" s="86" t="s">
        <v>191</v>
      </c>
      <c r="D70" s="94" t="s">
        <v>209</v>
      </c>
      <c r="E70" s="86" t="s">
        <v>216</v>
      </c>
      <c r="F70" s="86" t="s">
        <v>171</v>
      </c>
      <c r="G70" s="86" t="s">
        <v>173</v>
      </c>
      <c r="K70" s="94"/>
      <c r="L70" s="94"/>
      <c r="M70" s="94"/>
      <c r="O70" s="86" t="s">
        <v>176</v>
      </c>
      <c r="P70" s="103">
        <v>43.657700609314041</v>
      </c>
      <c r="Q70" s="86" t="s">
        <v>188</v>
      </c>
      <c r="U70" s="86">
        <v>44.89</v>
      </c>
      <c r="V70" s="86">
        <v>0.32</v>
      </c>
      <c r="W70" s="149">
        <v>-2.7451534655512571E-2</v>
      </c>
      <c r="X70" s="86" t="s">
        <v>1473</v>
      </c>
      <c r="Y70" s="86" t="s">
        <v>1427</v>
      </c>
      <c r="Z70" s="86">
        <v>36.92</v>
      </c>
      <c r="AA70" s="86" t="s">
        <v>188</v>
      </c>
      <c r="AE70" s="86">
        <v>37.33</v>
      </c>
      <c r="AF70" s="86">
        <v>0.37</v>
      </c>
      <c r="AG70" s="149">
        <v>-1.0983123493168942E-2</v>
      </c>
      <c r="AH70" s="86" t="s">
        <v>1473</v>
      </c>
      <c r="AQ70" s="149"/>
    </row>
    <row r="71" spans="1:43">
      <c r="A71" s="78">
        <v>6</v>
      </c>
      <c r="B71" s="86" t="s">
        <v>143</v>
      </c>
      <c r="D71" s="94" t="s">
        <v>209</v>
      </c>
      <c r="E71" s="86" t="s">
        <v>216</v>
      </c>
      <c r="F71" s="86" t="s">
        <v>171</v>
      </c>
      <c r="G71" s="86" t="s">
        <v>173</v>
      </c>
      <c r="K71" s="94"/>
      <c r="L71" s="94"/>
      <c r="M71" s="94"/>
      <c r="O71" s="86" t="s">
        <v>176</v>
      </c>
      <c r="P71" s="103">
        <v>118.33308583385728</v>
      </c>
      <c r="Q71" s="86" t="s">
        <v>188</v>
      </c>
      <c r="U71" s="86">
        <v>119.8</v>
      </c>
      <c r="V71" s="86">
        <v>1.2</v>
      </c>
      <c r="W71" s="149">
        <v>-1.224469253875388E-2</v>
      </c>
      <c r="X71" s="86" t="s">
        <v>1473</v>
      </c>
      <c r="Y71" s="86" t="s">
        <v>1427</v>
      </c>
      <c r="Z71" s="86">
        <v>11.37</v>
      </c>
      <c r="AA71" s="86" t="s">
        <v>188</v>
      </c>
      <c r="AE71" s="86">
        <v>12.57</v>
      </c>
      <c r="AF71" s="86">
        <v>0.3</v>
      </c>
      <c r="AG71" s="149">
        <v>-9.5465393794749484E-2</v>
      </c>
      <c r="AH71" s="86" t="s">
        <v>1473</v>
      </c>
      <c r="AQ71" s="149"/>
    </row>
    <row r="72" spans="1:43">
      <c r="A72" s="78">
        <v>6</v>
      </c>
      <c r="B72" s="86" t="s">
        <v>144</v>
      </c>
      <c r="D72" s="94" t="s">
        <v>209</v>
      </c>
      <c r="E72" s="86" t="s">
        <v>216</v>
      </c>
      <c r="F72" s="86" t="s">
        <v>171</v>
      </c>
      <c r="G72" s="86" t="s">
        <v>173</v>
      </c>
      <c r="K72" s="94"/>
      <c r="L72" s="94"/>
      <c r="M72" s="94"/>
      <c r="O72" s="86" t="s">
        <v>176</v>
      </c>
      <c r="P72" s="103">
        <v>128.00345613236362</v>
      </c>
      <c r="Q72" s="86" t="s">
        <v>188</v>
      </c>
      <c r="U72" s="86">
        <v>129.30000000000001</v>
      </c>
      <c r="V72" s="86">
        <v>1.4</v>
      </c>
      <c r="W72" s="149">
        <v>-1.0027408102369585E-2</v>
      </c>
      <c r="X72" s="86" t="s">
        <v>1473</v>
      </c>
      <c r="Y72" s="86" t="s">
        <v>1427</v>
      </c>
      <c r="Z72" s="86">
        <v>17.39</v>
      </c>
      <c r="AA72" s="86" t="s">
        <v>188</v>
      </c>
      <c r="AE72" s="86">
        <v>19.66</v>
      </c>
      <c r="AF72" s="86">
        <v>0.72</v>
      </c>
      <c r="AG72" s="149">
        <v>-0.11546286876907425</v>
      </c>
      <c r="AH72" s="86" t="s">
        <v>1473</v>
      </c>
      <c r="AQ72" s="149"/>
    </row>
    <row r="73" spans="1:43">
      <c r="A73" s="78">
        <v>6</v>
      </c>
      <c r="B73" s="86" t="s">
        <v>145</v>
      </c>
      <c r="D73" s="94" t="s">
        <v>209</v>
      </c>
      <c r="E73" s="86" t="s">
        <v>216</v>
      </c>
      <c r="F73" s="86" t="s">
        <v>171</v>
      </c>
      <c r="G73" s="86" t="s">
        <v>173</v>
      </c>
      <c r="K73" s="94"/>
      <c r="L73" s="94"/>
      <c r="M73" s="94"/>
      <c r="O73" s="86" t="s">
        <v>176</v>
      </c>
      <c r="P73" s="103">
        <v>100.55077330023092</v>
      </c>
      <c r="Q73" s="86" t="s">
        <v>188</v>
      </c>
      <c r="U73" s="86">
        <v>103.9</v>
      </c>
      <c r="V73" s="86">
        <v>1</v>
      </c>
      <c r="W73" s="149">
        <v>-3.223509816909615E-2</v>
      </c>
      <c r="X73" s="86" t="s">
        <v>1473</v>
      </c>
      <c r="Y73" s="86" t="s">
        <v>1427</v>
      </c>
      <c r="Z73" s="86">
        <v>138.25</v>
      </c>
      <c r="AA73" s="86" t="s">
        <v>188</v>
      </c>
      <c r="AE73" s="86">
        <v>129.5</v>
      </c>
      <c r="AF73" s="86">
        <v>1.8</v>
      </c>
      <c r="AG73" s="149">
        <v>6.7567567567567571E-2</v>
      </c>
      <c r="AH73" s="86" t="s">
        <v>1473</v>
      </c>
      <c r="AQ73" s="149"/>
    </row>
    <row r="74" spans="1:43">
      <c r="A74" s="78">
        <v>6</v>
      </c>
      <c r="B74" s="86" t="s">
        <v>146</v>
      </c>
      <c r="D74" s="94" t="s">
        <v>209</v>
      </c>
      <c r="E74" s="86" t="s">
        <v>216</v>
      </c>
      <c r="F74" s="86" t="s">
        <v>171</v>
      </c>
      <c r="G74" s="86" t="s">
        <v>173</v>
      </c>
      <c r="K74" s="94"/>
      <c r="L74" s="94"/>
      <c r="M74" s="94"/>
      <c r="O74" s="86" t="s">
        <v>176</v>
      </c>
      <c r="P74" s="103">
        <v>20.411585920223814</v>
      </c>
      <c r="Q74" s="86" t="s">
        <v>188</v>
      </c>
      <c r="U74" s="86">
        <v>21.37</v>
      </c>
      <c r="V74" s="86">
        <v>0.2</v>
      </c>
      <c r="W74" s="149">
        <v>-4.4848576498651697E-2</v>
      </c>
      <c r="X74" s="86" t="s">
        <v>1473</v>
      </c>
      <c r="Y74" s="86" t="s">
        <v>1427</v>
      </c>
      <c r="Z74" s="86">
        <v>21.21</v>
      </c>
      <c r="AA74" s="86" t="s">
        <v>188</v>
      </c>
      <c r="AE74" s="86">
        <v>22.07</v>
      </c>
      <c r="AF74" s="86">
        <v>0.19</v>
      </c>
      <c r="AG74" s="149">
        <v>-3.8966923425464407E-2</v>
      </c>
      <c r="AH74" s="86" t="s">
        <v>1473</v>
      </c>
      <c r="AQ74" s="149"/>
    </row>
    <row r="75" spans="1:43">
      <c r="A75" s="78">
        <v>6</v>
      </c>
      <c r="B75" s="86" t="s">
        <v>147</v>
      </c>
      <c r="D75" s="94" t="s">
        <v>209</v>
      </c>
      <c r="E75" s="86" t="s">
        <v>216</v>
      </c>
      <c r="F75" s="86" t="s">
        <v>171</v>
      </c>
      <c r="G75" s="86" t="s">
        <v>173</v>
      </c>
      <c r="K75" s="94"/>
      <c r="L75" s="94"/>
      <c r="M75" s="94"/>
      <c r="O75" s="86" t="s">
        <v>176</v>
      </c>
      <c r="P75" s="103">
        <v>8.9158707514916475</v>
      </c>
      <c r="Q75" s="86" t="s">
        <v>188</v>
      </c>
      <c r="U75" s="86">
        <v>9.2609999999999992</v>
      </c>
      <c r="V75" s="86">
        <v>9.6000000000000002E-2</v>
      </c>
      <c r="W75" s="149">
        <v>-3.7266952651803444E-2</v>
      </c>
      <c r="X75" s="86" t="s">
        <v>1473</v>
      </c>
      <c r="Y75" s="86" t="s">
        <v>1427</v>
      </c>
      <c r="Z75" s="86">
        <v>47.95</v>
      </c>
      <c r="AA75" s="86" t="s">
        <v>188</v>
      </c>
      <c r="AE75" s="86">
        <v>46.02</v>
      </c>
      <c r="AF75" s="86">
        <v>0.56000000000000005</v>
      </c>
      <c r="AG75" s="149">
        <v>4.1938287700999555E-2</v>
      </c>
      <c r="AH75" s="86" t="s">
        <v>1473</v>
      </c>
      <c r="AQ75" s="149"/>
    </row>
    <row r="76" spans="1:43">
      <c r="A76" s="78">
        <v>6</v>
      </c>
      <c r="B76" s="86" t="s">
        <v>148</v>
      </c>
      <c r="D76" s="94" t="s">
        <v>209</v>
      </c>
      <c r="E76" s="86" t="s">
        <v>216</v>
      </c>
      <c r="F76" s="86" t="s">
        <v>171</v>
      </c>
      <c r="G76" s="86" t="s">
        <v>173</v>
      </c>
      <c r="K76" s="94"/>
      <c r="L76" s="94"/>
      <c r="M76" s="94"/>
      <c r="O76" s="86" t="s">
        <v>176</v>
      </c>
      <c r="P76" s="103">
        <v>400.34678261011476</v>
      </c>
      <c r="Q76" s="86" t="s">
        <v>188</v>
      </c>
      <c r="U76" s="86">
        <v>394.1</v>
      </c>
      <c r="V76" s="86">
        <v>1.7</v>
      </c>
      <c r="W76" s="149">
        <v>1.5850755163955177E-2</v>
      </c>
      <c r="X76" s="86" t="s">
        <v>1473</v>
      </c>
      <c r="Y76" s="86" t="s">
        <v>1427</v>
      </c>
      <c r="Z76" s="86">
        <v>346.28</v>
      </c>
      <c r="AA76" s="86" t="s">
        <v>188</v>
      </c>
      <c r="AE76" s="86">
        <v>337.4</v>
      </c>
      <c r="AF76" s="86">
        <v>6.7</v>
      </c>
      <c r="AG76" s="149">
        <v>2.6318909306461163E-2</v>
      </c>
      <c r="AH76" s="86" t="s">
        <v>1473</v>
      </c>
      <c r="AQ76" s="149"/>
    </row>
    <row r="77" spans="1:43">
      <c r="A77" s="78">
        <v>6</v>
      </c>
      <c r="B77" s="86" t="s">
        <v>214</v>
      </c>
      <c r="D77" s="94" t="s">
        <v>209</v>
      </c>
      <c r="E77" s="86" t="s">
        <v>216</v>
      </c>
      <c r="F77" s="86" t="s">
        <v>171</v>
      </c>
      <c r="G77" s="86" t="s">
        <v>173</v>
      </c>
      <c r="K77" s="94"/>
      <c r="L77" s="94"/>
      <c r="M77" s="94"/>
      <c r="O77" s="86" t="s">
        <v>176</v>
      </c>
      <c r="P77" s="103">
        <v>24.539354236733448</v>
      </c>
      <c r="Q77" s="86" t="s">
        <v>188</v>
      </c>
      <c r="U77" s="86">
        <v>25.91</v>
      </c>
      <c r="V77" s="86">
        <v>0.28000000000000003</v>
      </c>
      <c r="W77" s="149">
        <v>-5.2900261029199223E-2</v>
      </c>
      <c r="X77" s="86" t="s">
        <v>1473</v>
      </c>
      <c r="Y77" s="86" t="s">
        <v>1427</v>
      </c>
      <c r="Z77" s="86">
        <v>34.03</v>
      </c>
      <c r="AA77" s="86" t="s">
        <v>188</v>
      </c>
      <c r="AE77" s="86">
        <v>36.07</v>
      </c>
      <c r="AF77" s="86">
        <v>0.37</v>
      </c>
      <c r="AG77" s="149">
        <v>-5.6556695314665902E-2</v>
      </c>
      <c r="AH77" s="86" t="s">
        <v>1473</v>
      </c>
      <c r="AQ77" s="149"/>
    </row>
    <row r="78" spans="1:43">
      <c r="A78" s="78">
        <v>6</v>
      </c>
      <c r="B78" s="86" t="s">
        <v>150</v>
      </c>
      <c r="D78" s="94" t="s">
        <v>209</v>
      </c>
      <c r="E78" s="86" t="s">
        <v>216</v>
      </c>
      <c r="F78" s="86" t="s">
        <v>171</v>
      </c>
      <c r="G78" s="86" t="s">
        <v>173</v>
      </c>
      <c r="K78" s="94"/>
      <c r="L78" s="94"/>
      <c r="M78" s="94"/>
      <c r="O78" s="86" t="s">
        <v>176</v>
      </c>
      <c r="P78" s="103">
        <v>167.9294798525008</v>
      </c>
      <c r="Q78" s="86" t="s">
        <v>188</v>
      </c>
      <c r="U78" s="86">
        <v>171.2</v>
      </c>
      <c r="V78" s="86">
        <v>1.3</v>
      </c>
      <c r="W78" s="149">
        <v>-1.9103505534457849E-2</v>
      </c>
      <c r="X78" s="86" t="s">
        <v>1473</v>
      </c>
      <c r="Y78" s="86" t="s">
        <v>1427</v>
      </c>
      <c r="Z78" s="86">
        <v>184.99</v>
      </c>
      <c r="AA78" s="86" t="s">
        <v>188</v>
      </c>
      <c r="AE78" s="86">
        <v>186.5</v>
      </c>
      <c r="AF78" s="86">
        <v>1.5</v>
      </c>
      <c r="AG78" s="149">
        <v>-8.0965147453082621E-3</v>
      </c>
      <c r="AH78" s="86" t="s">
        <v>1473</v>
      </c>
      <c r="AQ78" s="149"/>
    </row>
    <row r="79" spans="1:43">
      <c r="A79" s="78">
        <v>6</v>
      </c>
      <c r="B79" s="86" t="s">
        <v>151</v>
      </c>
      <c r="D79" s="94" t="s">
        <v>209</v>
      </c>
      <c r="E79" s="86" t="s">
        <v>216</v>
      </c>
      <c r="F79" s="86" t="s">
        <v>171</v>
      </c>
      <c r="G79" s="86" t="s">
        <v>173</v>
      </c>
      <c r="K79" s="94"/>
      <c r="L79" s="94"/>
      <c r="M79" s="94"/>
      <c r="O79" s="86" t="s">
        <v>176</v>
      </c>
      <c r="P79" s="103">
        <v>17.221678988804005</v>
      </c>
      <c r="Q79" s="86" t="s">
        <v>188</v>
      </c>
      <c r="U79" s="86">
        <v>18.100000000000001</v>
      </c>
      <c r="V79" s="86">
        <v>0.2</v>
      </c>
      <c r="W79" s="149">
        <v>-4.8526022718010861E-2</v>
      </c>
      <c r="X79" s="86" t="s">
        <v>1473</v>
      </c>
      <c r="Y79" s="86" t="s">
        <v>1427</v>
      </c>
      <c r="Z79" s="86">
        <v>11.57</v>
      </c>
      <c r="AA79" s="86" t="s">
        <v>188</v>
      </c>
      <c r="AE79" s="86">
        <v>12.44</v>
      </c>
      <c r="AF79" s="86">
        <v>0.2</v>
      </c>
      <c r="AG79" s="149">
        <v>-6.9935691318327914E-2</v>
      </c>
      <c r="AH79" s="86" t="s">
        <v>1473</v>
      </c>
      <c r="AQ79" s="149"/>
    </row>
    <row r="80" spans="1:43">
      <c r="A80" s="78">
        <v>6</v>
      </c>
      <c r="B80" s="86" t="s">
        <v>194</v>
      </c>
      <c r="D80" s="94" t="s">
        <v>209</v>
      </c>
      <c r="E80" s="86" t="s">
        <v>216</v>
      </c>
      <c r="F80" s="86" t="s">
        <v>171</v>
      </c>
      <c r="G80" s="86" t="s">
        <v>173</v>
      </c>
      <c r="K80" s="94"/>
      <c r="L80" s="94"/>
      <c r="M80" s="94"/>
      <c r="O80" s="86" t="s">
        <v>176</v>
      </c>
      <c r="P80" s="103">
        <v>9.6991966920962444E-2</v>
      </c>
      <c r="Q80" s="86" t="s">
        <v>188</v>
      </c>
      <c r="U80" s="86">
        <v>9.9599999999999994E-2</v>
      </c>
      <c r="V80" s="86">
        <v>2.2000000000000001E-3</v>
      </c>
      <c r="W80" s="149">
        <v>-2.6185071074674198E-2</v>
      </c>
      <c r="X80" s="86" t="s">
        <v>1473</v>
      </c>
      <c r="Y80" s="86" t="s">
        <v>1427</v>
      </c>
      <c r="Z80" s="86">
        <v>1.1100000000000001</v>
      </c>
      <c r="AA80" s="86" t="s">
        <v>188</v>
      </c>
      <c r="AE80" s="86">
        <v>1.1599999999999999</v>
      </c>
      <c r="AF80" s="86">
        <v>2.3E-2</v>
      </c>
      <c r="AG80" s="149">
        <v>-4.3103448275861919E-2</v>
      </c>
      <c r="AH80" s="86" t="s">
        <v>1473</v>
      </c>
      <c r="AQ80" s="149"/>
    </row>
    <row r="81" spans="1:43">
      <c r="A81" s="78">
        <v>6</v>
      </c>
      <c r="B81" s="86" t="s">
        <v>152</v>
      </c>
      <c r="D81" s="94" t="s">
        <v>209</v>
      </c>
      <c r="E81" s="86" t="s">
        <v>216</v>
      </c>
      <c r="F81" s="86" t="s">
        <v>171</v>
      </c>
      <c r="G81" s="86" t="s">
        <v>173</v>
      </c>
      <c r="K81" s="94"/>
      <c r="L81" s="94"/>
      <c r="M81" s="94"/>
      <c r="O81" s="86" t="s">
        <v>176</v>
      </c>
      <c r="P81" s="103">
        <v>133.57967579137784</v>
      </c>
      <c r="Q81" s="86" t="s">
        <v>188</v>
      </c>
      <c r="U81" s="86">
        <v>130.9</v>
      </c>
      <c r="V81" s="86">
        <v>1</v>
      </c>
      <c r="W81" s="149">
        <v>2.0471167237416592E-2</v>
      </c>
      <c r="X81" s="86" t="s">
        <v>1473</v>
      </c>
      <c r="Y81" s="86" t="s">
        <v>1427</v>
      </c>
      <c r="Z81" s="86">
        <v>714.11</v>
      </c>
      <c r="AA81" s="86" t="s">
        <v>188</v>
      </c>
      <c r="AE81" s="86">
        <v>683.9</v>
      </c>
      <c r="AF81" s="86">
        <v>4.7</v>
      </c>
      <c r="AG81" s="149">
        <v>4.4173124725837162E-2</v>
      </c>
      <c r="AH81" s="86" t="s">
        <v>1473</v>
      </c>
      <c r="AQ81" s="149"/>
    </row>
    <row r="82" spans="1:43">
      <c r="A82" s="78">
        <v>6</v>
      </c>
      <c r="B82" s="86" t="s">
        <v>153</v>
      </c>
      <c r="D82" s="94" t="s">
        <v>209</v>
      </c>
      <c r="E82" s="86" t="s">
        <v>216</v>
      </c>
      <c r="F82" s="86" t="s">
        <v>171</v>
      </c>
      <c r="G82" s="86" t="s">
        <v>173</v>
      </c>
      <c r="K82" s="94"/>
      <c r="L82" s="94"/>
      <c r="M82" s="94"/>
      <c r="O82" s="86" t="s">
        <v>176</v>
      </c>
      <c r="P82" s="103">
        <v>15.196627616756414</v>
      </c>
      <c r="Q82" s="86" t="s">
        <v>188</v>
      </c>
      <c r="U82" s="86">
        <v>15.2</v>
      </c>
      <c r="V82" s="86">
        <v>0.08</v>
      </c>
      <c r="W82" s="149">
        <v>-2.218673186569092E-4</v>
      </c>
      <c r="X82" s="86" t="s">
        <v>1473</v>
      </c>
      <c r="Y82" s="86" t="s">
        <v>1427</v>
      </c>
      <c r="Z82" s="86">
        <v>25.53</v>
      </c>
      <c r="AA82" s="86" t="s">
        <v>188</v>
      </c>
      <c r="AE82" s="86">
        <v>25.08</v>
      </c>
      <c r="AF82" s="86">
        <v>0.16</v>
      </c>
      <c r="AG82" s="149">
        <v>1.7942583732057531E-2</v>
      </c>
      <c r="AH82" s="86" t="s">
        <v>1473</v>
      </c>
      <c r="AQ82" s="149"/>
    </row>
    <row r="83" spans="1:43">
      <c r="A83" s="78">
        <v>6</v>
      </c>
      <c r="B83" s="86" t="s">
        <v>154</v>
      </c>
      <c r="D83" s="94" t="s">
        <v>209</v>
      </c>
      <c r="E83" s="86" t="s">
        <v>216</v>
      </c>
      <c r="F83" s="86" t="s">
        <v>171</v>
      </c>
      <c r="G83" s="86" t="s">
        <v>173</v>
      </c>
      <c r="K83" s="94"/>
      <c r="L83" s="94"/>
      <c r="M83" s="94"/>
      <c r="O83" s="86" t="s">
        <v>176</v>
      </c>
      <c r="P83" s="103">
        <v>37.265330905636041</v>
      </c>
      <c r="Q83" s="86" t="s">
        <v>188</v>
      </c>
      <c r="U83" s="86">
        <v>37.53</v>
      </c>
      <c r="V83" s="86">
        <v>0.19</v>
      </c>
      <c r="W83" s="149">
        <v>-7.052200755767647E-3</v>
      </c>
      <c r="X83" s="86" t="s">
        <v>1473</v>
      </c>
      <c r="Y83" s="86" t="s">
        <v>1427</v>
      </c>
      <c r="Z83" s="86">
        <v>53.1</v>
      </c>
      <c r="AA83" s="86" t="s">
        <v>188</v>
      </c>
      <c r="AE83" s="86">
        <v>53.12</v>
      </c>
      <c r="AF83" s="86">
        <v>0.33</v>
      </c>
      <c r="AG83" s="149">
        <v>-3.7650602409631064E-4</v>
      </c>
      <c r="AH83" s="86" t="s">
        <v>1473</v>
      </c>
      <c r="AQ83" s="149"/>
    </row>
    <row r="84" spans="1:43">
      <c r="A84" s="78">
        <v>6</v>
      </c>
      <c r="B84" s="86" t="s">
        <v>195</v>
      </c>
      <c r="D84" s="94" t="s">
        <v>209</v>
      </c>
      <c r="E84" s="86" t="s">
        <v>216</v>
      </c>
      <c r="F84" s="86" t="s">
        <v>171</v>
      </c>
      <c r="G84" s="86" t="s">
        <v>173</v>
      </c>
      <c r="K84" s="94"/>
      <c r="L84" s="94"/>
      <c r="M84" s="94"/>
      <c r="O84" s="86" t="s">
        <v>176</v>
      </c>
      <c r="P84" s="103">
        <v>5.0939089306473813</v>
      </c>
      <c r="Q84" s="86" t="s">
        <v>188</v>
      </c>
      <c r="U84" s="86">
        <v>5.3390000000000004</v>
      </c>
      <c r="V84" s="86">
        <v>2.8000000000000001E-2</v>
      </c>
      <c r="W84" s="149">
        <v>-4.5905800590488696E-2</v>
      </c>
      <c r="X84" s="86" t="s">
        <v>1473</v>
      </c>
      <c r="Y84" s="86" t="s">
        <v>1427</v>
      </c>
      <c r="Z84" s="86">
        <v>6.57</v>
      </c>
      <c r="AA84" s="86" t="s">
        <v>188</v>
      </c>
      <c r="AE84" s="86">
        <v>6.827</v>
      </c>
      <c r="AF84" s="86">
        <v>4.3999999999999997E-2</v>
      </c>
      <c r="AG84" s="149">
        <v>-3.7644646257506909E-2</v>
      </c>
      <c r="AH84" s="86" t="s">
        <v>1473</v>
      </c>
      <c r="AQ84" s="149"/>
    </row>
    <row r="85" spans="1:43">
      <c r="A85" s="78">
        <v>6</v>
      </c>
      <c r="B85" s="86" t="s">
        <v>155</v>
      </c>
      <c r="D85" s="94" t="s">
        <v>209</v>
      </c>
      <c r="E85" s="86" t="s">
        <v>216</v>
      </c>
      <c r="F85" s="86" t="s">
        <v>171</v>
      </c>
      <c r="G85" s="86" t="s">
        <v>173</v>
      </c>
      <c r="K85" s="94"/>
      <c r="L85" s="94"/>
      <c r="M85" s="94"/>
      <c r="O85" s="86" t="s">
        <v>176</v>
      </c>
      <c r="P85" s="103">
        <v>23.753553081648054</v>
      </c>
      <c r="Q85" s="86" t="s">
        <v>188</v>
      </c>
      <c r="U85" s="86">
        <v>24.27</v>
      </c>
      <c r="V85" s="86">
        <v>0.25</v>
      </c>
      <c r="W85" s="149">
        <v>-2.1279230257599743E-2</v>
      </c>
      <c r="X85" s="86" t="s">
        <v>1473</v>
      </c>
      <c r="Y85" s="86" t="s">
        <v>1427</v>
      </c>
      <c r="Z85" s="86">
        <v>28.09</v>
      </c>
      <c r="AA85" s="86" t="s">
        <v>188</v>
      </c>
      <c r="AE85" s="86">
        <v>28.26</v>
      </c>
      <c r="AF85" s="86">
        <v>0.37</v>
      </c>
      <c r="AG85" s="149">
        <v>-6.0155697098372854E-3</v>
      </c>
      <c r="AH85" s="86" t="s">
        <v>1473</v>
      </c>
      <c r="AQ85" s="149"/>
    </row>
    <row r="86" spans="1:43">
      <c r="A86" s="78">
        <v>6</v>
      </c>
      <c r="B86" s="86" t="s">
        <v>196</v>
      </c>
      <c r="D86" s="94" t="s">
        <v>209</v>
      </c>
      <c r="E86" s="86" t="s">
        <v>216</v>
      </c>
      <c r="F86" s="86" t="s">
        <v>171</v>
      </c>
      <c r="G86" s="86" t="s">
        <v>173</v>
      </c>
      <c r="K86" s="94"/>
      <c r="L86" s="94"/>
      <c r="M86" s="94"/>
      <c r="O86" s="86" t="s">
        <v>176</v>
      </c>
      <c r="P86" s="103">
        <v>5.9736558339242229</v>
      </c>
      <c r="Q86" s="86" t="s">
        <v>188</v>
      </c>
      <c r="U86" s="86">
        <v>6.0229999999999997</v>
      </c>
      <c r="V86" s="86">
        <v>5.7000000000000002E-2</v>
      </c>
      <c r="W86" s="149">
        <v>-8.1926226258968518E-3</v>
      </c>
      <c r="X86" s="86" t="s">
        <v>1473</v>
      </c>
      <c r="Y86" s="86" t="s">
        <v>1427</v>
      </c>
      <c r="Z86" s="86">
        <v>6.52</v>
      </c>
      <c r="AA86" s="86" t="s">
        <v>188</v>
      </c>
      <c r="AE86" s="86">
        <v>6.5469999999999997</v>
      </c>
      <c r="AF86" s="86">
        <v>4.7E-2</v>
      </c>
      <c r="AG86" s="149">
        <v>-4.1240262715747881E-3</v>
      </c>
      <c r="AH86" s="86" t="s">
        <v>1473</v>
      </c>
      <c r="AQ86" s="149"/>
    </row>
    <row r="87" spans="1:43">
      <c r="A87" s="78">
        <v>6</v>
      </c>
      <c r="B87" s="86" t="s">
        <v>197</v>
      </c>
      <c r="D87" s="94" t="s">
        <v>209</v>
      </c>
      <c r="E87" s="86" t="s">
        <v>216</v>
      </c>
      <c r="F87" s="86" t="s">
        <v>171</v>
      </c>
      <c r="G87" s="86" t="s">
        <v>173</v>
      </c>
      <c r="K87" s="94"/>
      <c r="L87" s="94"/>
      <c r="M87" s="94"/>
      <c r="O87" s="86" t="s">
        <v>176</v>
      </c>
      <c r="P87" s="103">
        <v>1.9863403429169599</v>
      </c>
      <c r="Q87" s="86" t="s">
        <v>188</v>
      </c>
      <c r="U87" s="86">
        <v>2.0430000000000001</v>
      </c>
      <c r="V87" s="86">
        <v>1.2E-2</v>
      </c>
      <c r="W87" s="149">
        <v>-2.773355706463055E-2</v>
      </c>
      <c r="X87" s="86" t="s">
        <v>1473</v>
      </c>
      <c r="Y87" s="86" t="s">
        <v>1427</v>
      </c>
      <c r="Z87" s="86">
        <v>1.89</v>
      </c>
      <c r="AA87" s="86" t="s">
        <v>188</v>
      </c>
      <c r="AE87" s="86">
        <v>1.9890000000000001</v>
      </c>
      <c r="AF87" s="86">
        <v>2.4E-2</v>
      </c>
      <c r="AG87" s="149">
        <v>-4.9773755656108698E-2</v>
      </c>
      <c r="AH87" s="86" t="s">
        <v>1473</v>
      </c>
      <c r="AQ87" s="149"/>
    </row>
    <row r="88" spans="1:43">
      <c r="A88" s="78">
        <v>6</v>
      </c>
      <c r="B88" s="86" t="s">
        <v>198</v>
      </c>
      <c r="D88" s="94" t="s">
        <v>209</v>
      </c>
      <c r="E88" s="86" t="s">
        <v>216</v>
      </c>
      <c r="F88" s="86" t="s">
        <v>171</v>
      </c>
      <c r="G88" s="86" t="s">
        <v>173</v>
      </c>
      <c r="K88" s="94"/>
      <c r="L88" s="94"/>
      <c r="M88" s="94"/>
      <c r="O88" s="86" t="s">
        <v>176</v>
      </c>
      <c r="P88" s="103">
        <v>6.3499668826054938</v>
      </c>
      <c r="Q88" s="86" t="s">
        <v>188</v>
      </c>
      <c r="U88" s="86">
        <v>6.2069999999999999</v>
      </c>
      <c r="V88" s="86">
        <v>3.7999999999999999E-2</v>
      </c>
      <c r="W88" s="149">
        <v>2.3033169422505873E-2</v>
      </c>
      <c r="X88" s="86" t="s">
        <v>1473</v>
      </c>
      <c r="Y88" s="86" t="s">
        <v>1427</v>
      </c>
      <c r="Z88" s="86">
        <v>7.03</v>
      </c>
      <c r="AA88" s="86" t="s">
        <v>188</v>
      </c>
      <c r="AE88" s="86">
        <v>6.8109999999999999</v>
      </c>
      <c r="AF88" s="86">
        <v>7.8E-2</v>
      </c>
      <c r="AG88" s="149">
        <v>3.2153868741741344E-2</v>
      </c>
      <c r="AH88" s="86" t="s">
        <v>1473</v>
      </c>
      <c r="AQ88" s="149"/>
    </row>
    <row r="89" spans="1:43">
      <c r="A89" s="78">
        <v>6</v>
      </c>
      <c r="B89" s="86" t="s">
        <v>199</v>
      </c>
      <c r="D89" s="94" t="s">
        <v>209</v>
      </c>
      <c r="E89" s="86" t="s">
        <v>216</v>
      </c>
      <c r="F89" s="86" t="s">
        <v>171</v>
      </c>
      <c r="G89" s="86" t="s">
        <v>173</v>
      </c>
      <c r="K89" s="94"/>
      <c r="L89" s="94"/>
      <c r="M89" s="94"/>
      <c r="O89" s="86" t="s">
        <v>176</v>
      </c>
      <c r="P89" s="103">
        <v>0.9208204762543416</v>
      </c>
      <c r="Q89" s="86" t="s">
        <v>188</v>
      </c>
      <c r="U89" s="86">
        <v>0.93920000000000003</v>
      </c>
      <c r="V89" s="86">
        <v>6.0000000000000001E-3</v>
      </c>
      <c r="W89" s="149">
        <v>-1.956933959290719E-2</v>
      </c>
      <c r="X89" s="86" t="s">
        <v>1473</v>
      </c>
      <c r="Y89" s="86" t="s">
        <v>1427</v>
      </c>
      <c r="Z89" s="86">
        <v>1.03</v>
      </c>
      <c r="AA89" s="86" t="s">
        <v>188</v>
      </c>
      <c r="AE89" s="86">
        <v>1.077</v>
      </c>
      <c r="AF89" s="86">
        <v>2.5999999999999999E-2</v>
      </c>
      <c r="AG89" s="149">
        <v>-4.3639740018570038E-2</v>
      </c>
      <c r="AH89" s="86" t="s">
        <v>1473</v>
      </c>
      <c r="AQ89" s="149"/>
    </row>
    <row r="90" spans="1:43">
      <c r="A90" s="78">
        <v>6</v>
      </c>
      <c r="B90" s="86" t="s">
        <v>200</v>
      </c>
      <c r="D90" s="94" t="s">
        <v>209</v>
      </c>
      <c r="E90" s="86" t="s">
        <v>216</v>
      </c>
      <c r="F90" s="86" t="s">
        <v>171</v>
      </c>
      <c r="G90" s="86" t="s">
        <v>173</v>
      </c>
      <c r="K90" s="94"/>
      <c r="L90" s="94"/>
      <c r="M90" s="94"/>
      <c r="O90" s="86" t="s">
        <v>176</v>
      </c>
      <c r="P90" s="103">
        <v>4.9616754929810449</v>
      </c>
      <c r="Q90" s="86" t="s">
        <v>188</v>
      </c>
      <c r="U90" s="86">
        <v>5.28</v>
      </c>
      <c r="V90" s="86">
        <v>2.8000000000000001E-2</v>
      </c>
      <c r="W90" s="149">
        <v>-6.0288732389953657E-2</v>
      </c>
      <c r="X90" s="86" t="s">
        <v>1473</v>
      </c>
      <c r="Y90" s="86" t="s">
        <v>1427</v>
      </c>
      <c r="Z90" s="86">
        <v>6.01</v>
      </c>
      <c r="AA90" s="86" t="s">
        <v>188</v>
      </c>
      <c r="AE90" s="86">
        <v>6.4240000000000004</v>
      </c>
      <c r="AF90" s="86">
        <v>5.5E-2</v>
      </c>
      <c r="AG90" s="149">
        <v>-6.4445828144458372E-2</v>
      </c>
      <c r="AH90" s="86" t="s">
        <v>1473</v>
      </c>
      <c r="AQ90" s="149"/>
    </row>
    <row r="91" spans="1:43">
      <c r="A91" s="78">
        <v>6</v>
      </c>
      <c r="B91" s="86" t="s">
        <v>201</v>
      </c>
      <c r="D91" s="94" t="s">
        <v>209</v>
      </c>
      <c r="E91" s="86" t="s">
        <v>216</v>
      </c>
      <c r="F91" s="86" t="s">
        <v>171</v>
      </c>
      <c r="G91" s="86" t="s">
        <v>173</v>
      </c>
      <c r="K91" s="94"/>
      <c r="L91" s="94"/>
      <c r="M91" s="94"/>
      <c r="O91" s="86" t="s">
        <v>176</v>
      </c>
      <c r="P91" s="103">
        <v>0.95644924314834412</v>
      </c>
      <c r="Q91" s="86" t="s">
        <v>188</v>
      </c>
      <c r="U91" s="86">
        <v>0.98870000000000002</v>
      </c>
      <c r="V91" s="86">
        <v>5.3E-3</v>
      </c>
      <c r="W91" s="149">
        <v>-3.26193555695923E-2</v>
      </c>
      <c r="X91" s="86" t="s">
        <v>1473</v>
      </c>
      <c r="Y91" s="86" t="s">
        <v>1427</v>
      </c>
      <c r="Z91" s="86">
        <v>1.27</v>
      </c>
      <c r="AA91" s="86" t="s">
        <v>188</v>
      </c>
      <c r="AE91" s="86">
        <v>1.3129999999999999</v>
      </c>
      <c r="AF91" s="86">
        <v>1.0999999999999999E-2</v>
      </c>
      <c r="AG91" s="149">
        <v>-3.2749428789032697E-2</v>
      </c>
      <c r="AH91" s="86" t="s">
        <v>1473</v>
      </c>
      <c r="AQ91" s="149"/>
    </row>
    <row r="92" spans="1:43">
      <c r="A92" s="78">
        <v>6</v>
      </c>
      <c r="B92" s="86" t="s">
        <v>202</v>
      </c>
      <c r="D92" s="94" t="s">
        <v>209</v>
      </c>
      <c r="E92" s="86" t="s">
        <v>216</v>
      </c>
      <c r="F92" s="86" t="s">
        <v>171</v>
      </c>
      <c r="G92" s="86" t="s">
        <v>173</v>
      </c>
      <c r="K92" s="94"/>
      <c r="L92" s="94"/>
      <c r="M92" s="94"/>
      <c r="O92" s="86" t="s">
        <v>176</v>
      </c>
      <c r="P92" s="103">
        <v>2.4798893198082053</v>
      </c>
      <c r="Q92" s="86" t="s">
        <v>188</v>
      </c>
      <c r="U92" s="86">
        <v>2.5110000000000001</v>
      </c>
      <c r="V92" s="86">
        <v>1.4E-2</v>
      </c>
      <c r="W92" s="149">
        <v>-1.2389757145278717E-2</v>
      </c>
      <c r="X92" s="86" t="s">
        <v>1473</v>
      </c>
      <c r="Y92" s="86" t="s">
        <v>1427</v>
      </c>
      <c r="Z92" s="86">
        <v>3.58</v>
      </c>
      <c r="AA92" s="86" t="s">
        <v>188</v>
      </c>
      <c r="AE92" s="86">
        <v>3.67</v>
      </c>
      <c r="AF92" s="86">
        <v>3.7999999999999999E-2</v>
      </c>
      <c r="AG92" s="149">
        <v>-2.4523160762942742E-2</v>
      </c>
      <c r="AH92" s="86" t="s">
        <v>1473</v>
      </c>
      <c r="AQ92" s="149"/>
    </row>
    <row r="93" spans="1:43">
      <c r="A93" s="78">
        <v>6</v>
      </c>
      <c r="B93" s="86" t="s">
        <v>203</v>
      </c>
      <c r="D93" s="94" t="s">
        <v>209</v>
      </c>
      <c r="E93" s="86" t="s">
        <v>216</v>
      </c>
      <c r="F93" s="86" t="s">
        <v>171</v>
      </c>
      <c r="G93" s="86" t="s">
        <v>173</v>
      </c>
      <c r="K93" s="94"/>
      <c r="L93" s="94"/>
      <c r="M93" s="94"/>
      <c r="O93" s="86" t="s">
        <v>176</v>
      </c>
      <c r="P93" s="103">
        <v>0.3342526411564346</v>
      </c>
      <c r="Q93" s="86" t="s">
        <v>188</v>
      </c>
      <c r="U93" s="86">
        <v>0.33489999999999998</v>
      </c>
      <c r="V93" s="86">
        <v>3.0999999999999999E-3</v>
      </c>
      <c r="W93" s="149">
        <v>-1.9329914707834309E-3</v>
      </c>
      <c r="X93" s="86" t="s">
        <v>1473</v>
      </c>
      <c r="Y93" s="86" t="s">
        <v>1427</v>
      </c>
      <c r="Z93" s="86">
        <v>0.52</v>
      </c>
      <c r="AA93" s="86" t="s">
        <v>188</v>
      </c>
      <c r="AE93" s="86">
        <v>0.53410000000000002</v>
      </c>
      <c r="AF93" s="86">
        <v>6.0000000000000001E-3</v>
      </c>
      <c r="AG93" s="149">
        <v>-2.6399550645946453E-2</v>
      </c>
      <c r="AH93" s="86" t="s">
        <v>1473</v>
      </c>
      <c r="AQ93" s="149"/>
    </row>
    <row r="94" spans="1:43">
      <c r="A94" s="78">
        <v>6</v>
      </c>
      <c r="B94" s="86" t="s">
        <v>204</v>
      </c>
      <c r="D94" s="94" t="s">
        <v>209</v>
      </c>
      <c r="E94" s="86" t="s">
        <v>216</v>
      </c>
      <c r="F94" s="86" t="s">
        <v>171</v>
      </c>
      <c r="G94" s="86" t="s">
        <v>173</v>
      </c>
      <c r="K94" s="94"/>
      <c r="L94" s="94"/>
      <c r="M94" s="94"/>
      <c r="O94" s="86" t="s">
        <v>176</v>
      </c>
      <c r="P94" s="103">
        <v>1.8960015847057548</v>
      </c>
      <c r="Q94" s="86" t="s">
        <v>188</v>
      </c>
      <c r="U94" s="86">
        <v>1.994</v>
      </c>
      <c r="V94" s="86">
        <v>2.7E-2</v>
      </c>
      <c r="W94" s="149">
        <v>-4.9146647589892296E-2</v>
      </c>
      <c r="X94" s="86" t="s">
        <v>1473</v>
      </c>
      <c r="Y94" s="86" t="s">
        <v>1427</v>
      </c>
      <c r="Z94" s="86">
        <v>3.22</v>
      </c>
      <c r="AA94" s="86" t="s">
        <v>188</v>
      </c>
      <c r="AE94" s="86">
        <v>3.3919999999999999</v>
      </c>
      <c r="AF94" s="86">
        <v>3.5999999999999997E-2</v>
      </c>
      <c r="AG94" s="149">
        <v>-5.0707547169811233E-2</v>
      </c>
      <c r="AH94" s="86" t="s">
        <v>1473</v>
      </c>
      <c r="AQ94" s="149"/>
    </row>
    <row r="95" spans="1:43">
      <c r="A95" s="78">
        <v>6</v>
      </c>
      <c r="B95" s="86" t="s">
        <v>205</v>
      </c>
      <c r="D95" s="94" t="s">
        <v>209</v>
      </c>
      <c r="E95" s="86" t="s">
        <v>216</v>
      </c>
      <c r="F95" s="86" t="s">
        <v>171</v>
      </c>
      <c r="G95" s="86" t="s">
        <v>173</v>
      </c>
      <c r="K95" s="94"/>
      <c r="L95" s="94"/>
      <c r="M95" s="94"/>
      <c r="O95" s="86" t="s">
        <v>176</v>
      </c>
      <c r="P95" s="103">
        <v>0.27159404929996006</v>
      </c>
      <c r="Q95" s="86" t="s">
        <v>188</v>
      </c>
      <c r="U95" s="86">
        <v>0.27539999999999998</v>
      </c>
      <c r="V95" s="86">
        <v>2.3999999999999998E-3</v>
      </c>
      <c r="W95" s="149">
        <v>-1.3819719317501516E-2</v>
      </c>
      <c r="X95" s="86" t="s">
        <v>1473</v>
      </c>
      <c r="Y95" s="86" t="s">
        <v>1427</v>
      </c>
      <c r="Z95" s="86">
        <v>0.49</v>
      </c>
      <c r="AA95" s="86" t="s">
        <v>188</v>
      </c>
      <c r="AE95" s="86">
        <v>0.50490000000000002</v>
      </c>
      <c r="AF95" s="86">
        <v>7.7999999999999996E-3</v>
      </c>
      <c r="AG95" s="149">
        <v>-2.9510794216676618E-2</v>
      </c>
      <c r="AH95" s="86" t="s">
        <v>1473</v>
      </c>
      <c r="AQ95" s="149"/>
    </row>
    <row r="96" spans="1:43">
      <c r="A96" s="78">
        <v>6</v>
      </c>
      <c r="B96" s="86" t="s">
        <v>206</v>
      </c>
      <c r="D96" s="94" t="s">
        <v>209</v>
      </c>
      <c r="E96" s="86" t="s">
        <v>216</v>
      </c>
      <c r="F96" s="86" t="s">
        <v>171</v>
      </c>
      <c r="G96" s="86" t="s">
        <v>173</v>
      </c>
      <c r="K96" s="94"/>
      <c r="L96" s="94"/>
      <c r="M96" s="94"/>
      <c r="O96" s="86" t="s">
        <v>176</v>
      </c>
      <c r="P96" s="103">
        <v>4.1745430012658007</v>
      </c>
      <c r="Q96" s="86" t="s">
        <v>188</v>
      </c>
      <c r="U96" s="86">
        <v>4.47</v>
      </c>
      <c r="V96" s="86">
        <v>2.5000000000000001E-2</v>
      </c>
      <c r="W96" s="149">
        <v>-6.6097762580357738E-2</v>
      </c>
      <c r="X96" s="86" t="s">
        <v>1473</v>
      </c>
      <c r="Y96" s="86" t="s">
        <v>1427</v>
      </c>
      <c r="Z96" s="86">
        <v>4.6399999999999997</v>
      </c>
      <c r="AA96" s="86" t="s">
        <v>188</v>
      </c>
      <c r="AE96" s="86">
        <v>4.9720000000000004</v>
      </c>
      <c r="AF96" s="86">
        <v>3.4000000000000002E-2</v>
      </c>
      <c r="AG96" s="149">
        <v>-6.6773934030571344E-2</v>
      </c>
      <c r="AH96" s="86" t="s">
        <v>1473</v>
      </c>
      <c r="AQ96" s="149"/>
    </row>
    <row r="97" spans="1:44">
      <c r="A97" s="78">
        <v>6</v>
      </c>
      <c r="B97" s="86" t="s">
        <v>207</v>
      </c>
      <c r="D97" s="94" t="s">
        <v>209</v>
      </c>
      <c r="E97" s="86" t="s">
        <v>216</v>
      </c>
      <c r="F97" s="86" t="s">
        <v>171</v>
      </c>
      <c r="G97" s="86" t="s">
        <v>173</v>
      </c>
      <c r="K97" s="94"/>
      <c r="L97" s="94"/>
      <c r="M97" s="94"/>
      <c r="O97" s="86" t="s">
        <v>176</v>
      </c>
      <c r="P97" s="103">
        <v>1.1170679055472188</v>
      </c>
      <c r="Q97" s="86" t="s">
        <v>188</v>
      </c>
      <c r="U97" s="86">
        <v>1.1539999999999999</v>
      </c>
      <c r="V97" s="86">
        <v>1.9E-2</v>
      </c>
      <c r="W97" s="149">
        <v>-3.2003548052669945E-2</v>
      </c>
      <c r="X97" s="86" t="s">
        <v>1473</v>
      </c>
      <c r="Y97" s="86" t="s">
        <v>1427</v>
      </c>
      <c r="Z97" s="86">
        <v>0.75</v>
      </c>
      <c r="AA97" s="86" t="s">
        <v>188</v>
      </c>
      <c r="AE97" s="86">
        <v>0.78500000000000003</v>
      </c>
      <c r="AF97" s="86">
        <v>1.7999999999999999E-2</v>
      </c>
      <c r="AG97" s="149">
        <v>-4.4585987261146535E-2</v>
      </c>
      <c r="AH97" s="86" t="s">
        <v>1473</v>
      </c>
      <c r="AQ97" s="149"/>
    </row>
    <row r="98" spans="1:44">
      <c r="A98" s="78">
        <v>6</v>
      </c>
      <c r="B98" s="86" t="s">
        <v>156</v>
      </c>
      <c r="D98" s="94" t="s">
        <v>209</v>
      </c>
      <c r="E98" s="86" t="s">
        <v>216</v>
      </c>
      <c r="F98" s="86" t="s">
        <v>171</v>
      </c>
      <c r="G98" s="86" t="s">
        <v>173</v>
      </c>
      <c r="K98" s="94"/>
      <c r="L98" s="94"/>
      <c r="M98" s="94"/>
      <c r="O98" s="86" t="s">
        <v>176</v>
      </c>
      <c r="P98" s="103">
        <v>1.4672983774434447</v>
      </c>
      <c r="Q98" s="86" t="s">
        <v>188</v>
      </c>
      <c r="U98" s="86">
        <v>1.653</v>
      </c>
      <c r="V98" s="86">
        <v>3.7999999999999999E-2</v>
      </c>
      <c r="W98" s="149">
        <v>-0.11234217940505463</v>
      </c>
      <c r="X98" s="86" t="s">
        <v>1473</v>
      </c>
      <c r="Y98" s="86" t="s">
        <v>1427</v>
      </c>
      <c r="Z98" s="86">
        <v>10.01</v>
      </c>
      <c r="AA98" s="86" t="s">
        <v>188</v>
      </c>
      <c r="AE98" s="86">
        <v>10.59</v>
      </c>
      <c r="AF98" s="86">
        <v>0.17</v>
      </c>
      <c r="AG98" s="149">
        <v>-5.4768649669499535E-2</v>
      </c>
      <c r="AH98" s="86" t="s">
        <v>1473</v>
      </c>
      <c r="AQ98" s="149"/>
    </row>
    <row r="99" spans="1:44">
      <c r="A99" s="78">
        <v>6</v>
      </c>
      <c r="B99" s="86" t="s">
        <v>157</v>
      </c>
      <c r="D99" s="94" t="s">
        <v>209</v>
      </c>
      <c r="E99" s="86" t="s">
        <v>216</v>
      </c>
      <c r="F99" s="86" t="s">
        <v>171</v>
      </c>
      <c r="G99" s="86" t="s">
        <v>173</v>
      </c>
      <c r="K99" s="94"/>
      <c r="L99" s="94"/>
      <c r="M99" s="94"/>
      <c r="O99" s="86" t="s">
        <v>176</v>
      </c>
      <c r="P99" s="103">
        <v>1.1875577216625781</v>
      </c>
      <c r="Q99" s="86" t="s">
        <v>188</v>
      </c>
      <c r="U99" s="86">
        <v>1.224</v>
      </c>
      <c r="V99" s="86">
        <v>1.6E-2</v>
      </c>
      <c r="W99" s="149">
        <v>-2.9773103216847927E-2</v>
      </c>
      <c r="X99" s="86" t="s">
        <v>1473</v>
      </c>
      <c r="Y99" s="86" t="s">
        <v>1427</v>
      </c>
      <c r="Z99" s="86">
        <v>5.86</v>
      </c>
      <c r="AA99" s="86" t="s">
        <v>188</v>
      </c>
      <c r="AE99" s="86">
        <v>5.8280000000000003</v>
      </c>
      <c r="AF99" s="86">
        <v>0.05</v>
      </c>
      <c r="AG99" s="149">
        <v>5.4907343857240956E-3</v>
      </c>
      <c r="AH99" s="86" t="s">
        <v>1473</v>
      </c>
      <c r="AQ99" s="149"/>
    </row>
    <row r="100" spans="1:44">
      <c r="A100" s="78">
        <v>6</v>
      </c>
      <c r="B100" s="86" t="s">
        <v>215</v>
      </c>
      <c r="D100" s="94" t="s">
        <v>209</v>
      </c>
      <c r="E100" s="86" t="s">
        <v>216</v>
      </c>
      <c r="F100" s="86" t="s">
        <v>171</v>
      </c>
      <c r="G100" s="86" t="s">
        <v>173</v>
      </c>
      <c r="K100" s="94"/>
      <c r="L100" s="94"/>
      <c r="M100" s="94"/>
      <c r="O100" s="86" t="s">
        <v>176</v>
      </c>
      <c r="P100" s="103">
        <v>0.41577404885415276</v>
      </c>
      <c r="Q100" s="86" t="s">
        <v>188</v>
      </c>
      <c r="U100" s="86">
        <v>0.41199999999999998</v>
      </c>
      <c r="V100" s="86">
        <v>3.5000000000000003E-2</v>
      </c>
      <c r="W100" s="149">
        <v>9.1603127527980065E-3</v>
      </c>
      <c r="X100" s="86" t="s">
        <v>1473</v>
      </c>
      <c r="Y100" s="86" t="s">
        <v>1427</v>
      </c>
      <c r="Z100" s="103">
        <v>1.69</v>
      </c>
      <c r="AA100" s="86" t="s">
        <v>188</v>
      </c>
      <c r="AE100" s="86">
        <v>1.6830000000000001</v>
      </c>
      <c r="AF100" s="86">
        <v>1.7000000000000001E-2</v>
      </c>
      <c r="AG100" s="149">
        <v>4.159239453357038E-3</v>
      </c>
      <c r="AH100" s="86" t="s">
        <v>1473</v>
      </c>
      <c r="AQ100" s="149"/>
    </row>
    <row r="101" spans="1:44">
      <c r="A101" s="78">
        <v>7</v>
      </c>
      <c r="B101" s="1" t="s">
        <v>32</v>
      </c>
      <c r="D101" s="94" t="s">
        <v>31</v>
      </c>
      <c r="E101" s="86" t="s">
        <v>180</v>
      </c>
      <c r="F101" s="86" t="s">
        <v>181</v>
      </c>
      <c r="G101" s="86" t="s">
        <v>182</v>
      </c>
      <c r="K101" s="94"/>
      <c r="L101" s="94"/>
      <c r="M101" s="94"/>
      <c r="O101" s="86" t="s">
        <v>217</v>
      </c>
      <c r="P101" s="103">
        <v>49.97935132500001</v>
      </c>
      <c r="Q101" s="86" t="s">
        <v>159</v>
      </c>
      <c r="R101" s="103">
        <v>0.13973992931798651</v>
      </c>
      <c r="S101" s="86" t="s">
        <v>159</v>
      </c>
      <c r="T101" s="86">
        <v>4</v>
      </c>
      <c r="U101" s="86">
        <v>49.79</v>
      </c>
      <c r="W101" s="149">
        <v>3.8029990962042816E-3</v>
      </c>
      <c r="X101" s="86" t="s">
        <v>1473</v>
      </c>
      <c r="Y101" s="86" t="s">
        <v>1423</v>
      </c>
      <c r="Z101" s="103">
        <v>48.261384149999998</v>
      </c>
      <c r="AA101" s="86" t="s">
        <v>159</v>
      </c>
      <c r="AB101" s="103">
        <v>0.11569424311735248</v>
      </c>
      <c r="AC101" s="86" t="s">
        <v>159</v>
      </c>
      <c r="AD101" s="86">
        <v>4</v>
      </c>
      <c r="AE101" s="86">
        <v>47.79</v>
      </c>
      <c r="AG101" s="149">
        <v>9.8636566227243913E-3</v>
      </c>
      <c r="AH101" s="86" t="s">
        <v>1473</v>
      </c>
      <c r="AI101" s="86" t="s">
        <v>1424</v>
      </c>
      <c r="AJ101" s="103">
        <v>73.129647066666664</v>
      </c>
      <c r="AK101" s="86" t="s">
        <v>159</v>
      </c>
      <c r="AL101" s="103">
        <v>0.22939336747598332</v>
      </c>
      <c r="AM101" s="86" t="s">
        <v>159</v>
      </c>
      <c r="AN101" s="86">
        <v>3</v>
      </c>
      <c r="AO101" s="86">
        <v>73.12</v>
      </c>
      <c r="AQ101" s="149">
        <v>1.3193471918297378E-4</v>
      </c>
      <c r="AR101" s="86" t="s">
        <v>1473</v>
      </c>
    </row>
    <row r="102" spans="1:44">
      <c r="A102" s="78">
        <v>7</v>
      </c>
      <c r="B102" s="1" t="s">
        <v>131</v>
      </c>
      <c r="D102" s="94" t="s">
        <v>31</v>
      </c>
      <c r="E102" s="86" t="s">
        <v>180</v>
      </c>
      <c r="F102" s="86" t="s">
        <v>181</v>
      </c>
      <c r="G102" s="86" t="s">
        <v>182</v>
      </c>
      <c r="K102" s="94"/>
      <c r="L102" s="94"/>
      <c r="M102" s="94"/>
      <c r="O102" s="86" t="s">
        <v>217</v>
      </c>
      <c r="P102" s="103">
        <v>2.7549791000000003</v>
      </c>
      <c r="Q102" s="86" t="s">
        <v>159</v>
      </c>
      <c r="R102" s="103">
        <v>9.3928911881981259E-3</v>
      </c>
      <c r="S102" s="86" t="s">
        <v>159</v>
      </c>
      <c r="T102" s="86">
        <v>4</v>
      </c>
      <c r="U102" s="86">
        <v>2.742</v>
      </c>
      <c r="W102" s="149">
        <v>4.7334427425238341E-3</v>
      </c>
      <c r="X102" s="86" t="s">
        <v>1473</v>
      </c>
      <c r="Y102" s="86" t="s">
        <v>1423</v>
      </c>
      <c r="Z102" s="103">
        <v>0.97444445000000002</v>
      </c>
      <c r="AA102" s="86" t="s">
        <v>159</v>
      </c>
      <c r="AB102" s="103">
        <v>4.2246095886681861E-3</v>
      </c>
      <c r="AC102" s="86" t="s">
        <v>159</v>
      </c>
      <c r="AD102" s="86">
        <v>4</v>
      </c>
      <c r="AE102" s="86">
        <v>0.9587</v>
      </c>
      <c r="AG102" s="149">
        <v>1.6422707833524588E-2</v>
      </c>
      <c r="AH102" s="86" t="s">
        <v>1473</v>
      </c>
      <c r="AI102" s="86" t="s">
        <v>1424</v>
      </c>
      <c r="AJ102" s="103">
        <v>0.26849506666666667</v>
      </c>
      <c r="AK102" s="86" t="s">
        <v>159</v>
      </c>
      <c r="AL102" s="103">
        <v>2.0675106706697578E-3</v>
      </c>
      <c r="AM102" s="86" t="s">
        <v>159</v>
      </c>
      <c r="AN102" s="86">
        <v>3</v>
      </c>
      <c r="AO102" s="86">
        <v>0.26540000000000002</v>
      </c>
      <c r="AQ102" s="149">
        <v>1.1661893996483217E-2</v>
      </c>
      <c r="AR102" s="86" t="s">
        <v>1473</v>
      </c>
    </row>
    <row r="103" spans="1:44">
      <c r="A103" s="78">
        <v>7</v>
      </c>
      <c r="B103" s="86" t="s">
        <v>132</v>
      </c>
      <c r="D103" s="94" t="s">
        <v>31</v>
      </c>
      <c r="E103" s="86" t="s">
        <v>180</v>
      </c>
      <c r="F103" s="86" t="s">
        <v>181</v>
      </c>
      <c r="G103" s="86" t="s">
        <v>182</v>
      </c>
      <c r="K103" s="94"/>
      <c r="L103" s="94"/>
      <c r="M103" s="94"/>
      <c r="O103" s="86" t="s">
        <v>217</v>
      </c>
      <c r="P103" s="103">
        <v>13.520102650000002</v>
      </c>
      <c r="Q103" s="86" t="s">
        <v>159</v>
      </c>
      <c r="R103" s="103">
        <v>4.9167782560635351E-2</v>
      </c>
      <c r="S103" s="86" t="s">
        <v>159</v>
      </c>
      <c r="T103" s="86">
        <v>4</v>
      </c>
      <c r="U103" s="86">
        <v>13.69</v>
      </c>
      <c r="W103" s="149">
        <v>-1.241032505478434E-2</v>
      </c>
      <c r="X103" s="86" t="s">
        <v>1473</v>
      </c>
      <c r="Y103" s="86" t="s">
        <v>1423</v>
      </c>
      <c r="Z103" s="103">
        <v>15.603926225</v>
      </c>
      <c r="AA103" s="86" t="s">
        <v>159</v>
      </c>
      <c r="AB103" s="103">
        <v>0.12873228042935592</v>
      </c>
      <c r="AC103" s="86" t="s">
        <v>159</v>
      </c>
      <c r="AD103" s="86">
        <v>4</v>
      </c>
      <c r="AE103" s="86">
        <v>15.51</v>
      </c>
      <c r="AG103" s="149">
        <v>6.0558494519665114E-3</v>
      </c>
      <c r="AH103" s="86" t="s">
        <v>1473</v>
      </c>
      <c r="AI103" s="86" t="s">
        <v>1424</v>
      </c>
      <c r="AJ103" s="103">
        <v>13.670735866666666</v>
      </c>
      <c r="AK103" s="86" t="s">
        <v>159</v>
      </c>
      <c r="AL103" s="103">
        <v>9.9979940814814289E-3</v>
      </c>
      <c r="AM103" s="86" t="s">
        <v>159</v>
      </c>
      <c r="AN103" s="86">
        <v>3</v>
      </c>
      <c r="AO103" s="86">
        <v>13.83</v>
      </c>
      <c r="AQ103" s="149">
        <v>-1.1515844781875199E-2</v>
      </c>
      <c r="AR103" s="86" t="s">
        <v>1473</v>
      </c>
    </row>
    <row r="104" spans="1:44">
      <c r="A104" s="78">
        <v>7</v>
      </c>
      <c r="B104" s="86" t="s">
        <v>218</v>
      </c>
      <c r="D104" s="94" t="s">
        <v>31</v>
      </c>
      <c r="E104" s="86" t="s">
        <v>180</v>
      </c>
      <c r="F104" s="86" t="s">
        <v>181</v>
      </c>
      <c r="G104" s="86" t="s">
        <v>182</v>
      </c>
      <c r="K104" s="94"/>
      <c r="L104" s="94"/>
      <c r="M104" s="94"/>
      <c r="O104" s="86" t="s">
        <v>217</v>
      </c>
      <c r="P104" s="103">
        <v>3.1738340000000016</v>
      </c>
      <c r="Q104" s="86" t="s">
        <v>159</v>
      </c>
      <c r="R104" s="103">
        <v>4.4117669694428159E-2</v>
      </c>
      <c r="S104" s="86" t="s">
        <v>159</v>
      </c>
      <c r="T104" s="86">
        <v>4</v>
      </c>
      <c r="W104" s="149"/>
      <c r="Y104" s="86" t="s">
        <v>1423</v>
      </c>
      <c r="Z104" s="103">
        <v>2.4683534750000029</v>
      </c>
      <c r="AA104" s="86" t="s">
        <v>159</v>
      </c>
      <c r="AB104" s="103">
        <v>0</v>
      </c>
      <c r="AC104" s="86" t="s">
        <v>159</v>
      </c>
      <c r="AD104" s="86">
        <v>4</v>
      </c>
      <c r="AG104" s="149"/>
      <c r="AI104" s="86" t="s">
        <v>1424</v>
      </c>
      <c r="AJ104" s="103">
        <v>0.46787246666666676</v>
      </c>
      <c r="AK104" s="86" t="s">
        <v>159</v>
      </c>
      <c r="AL104" s="103">
        <v>4.6936800799940318E-3</v>
      </c>
      <c r="AM104" s="86" t="s">
        <v>159</v>
      </c>
      <c r="AN104" s="86">
        <v>3</v>
      </c>
      <c r="AQ104" s="149"/>
    </row>
    <row r="105" spans="1:44">
      <c r="A105" s="78">
        <v>7</v>
      </c>
      <c r="B105" s="86" t="s">
        <v>134</v>
      </c>
      <c r="D105" s="94" t="s">
        <v>31</v>
      </c>
      <c r="E105" s="86" t="s">
        <v>180</v>
      </c>
      <c r="F105" s="86" t="s">
        <v>181</v>
      </c>
      <c r="G105" s="86" t="s">
        <v>182</v>
      </c>
      <c r="K105" s="94"/>
      <c r="L105" s="94"/>
      <c r="M105" s="94"/>
      <c r="O105" s="86" t="s">
        <v>217</v>
      </c>
      <c r="P105" s="103">
        <v>0.1688568</v>
      </c>
      <c r="Q105" s="86" t="s">
        <v>159</v>
      </c>
      <c r="R105" s="103">
        <v>2.7218236668331906E-3</v>
      </c>
      <c r="S105" s="86" t="s">
        <v>159</v>
      </c>
      <c r="T105" s="86">
        <v>4</v>
      </c>
      <c r="U105" s="86">
        <v>0.16889999999999999</v>
      </c>
      <c r="W105" s="149">
        <v>-2.557726465363721E-4</v>
      </c>
      <c r="X105" s="86" t="s">
        <v>1473</v>
      </c>
      <c r="Y105" s="86" t="s">
        <v>1423</v>
      </c>
      <c r="Z105" s="103">
        <v>0.17162082499999998</v>
      </c>
      <c r="AA105" s="86" t="s">
        <v>159</v>
      </c>
      <c r="AB105" s="103">
        <v>2.2286642970996461E-3</v>
      </c>
      <c r="AC105" s="86" t="s">
        <v>159</v>
      </c>
      <c r="AD105" s="86">
        <v>4</v>
      </c>
      <c r="AE105" s="86">
        <v>0.1731</v>
      </c>
      <c r="AG105" s="149">
        <v>-8.5452050837667645E-3</v>
      </c>
      <c r="AH105" s="86" t="s">
        <v>1473</v>
      </c>
      <c r="AI105" s="86" t="s">
        <v>1424</v>
      </c>
      <c r="AJ105" s="103">
        <v>3.7410533333333336E-2</v>
      </c>
      <c r="AK105" s="86" t="s">
        <v>159</v>
      </c>
      <c r="AL105" s="103">
        <v>1.5171380600767167E-3</v>
      </c>
      <c r="AM105" s="86" t="s">
        <v>159</v>
      </c>
      <c r="AN105" s="86">
        <v>3</v>
      </c>
      <c r="AO105" s="86">
        <v>3.8699999999999998E-2</v>
      </c>
      <c r="AQ105" s="149">
        <v>-3.3319552110249673E-2</v>
      </c>
      <c r="AR105" s="86" t="s">
        <v>1473</v>
      </c>
    </row>
    <row r="106" spans="1:44">
      <c r="A106" s="78">
        <v>7</v>
      </c>
      <c r="B106" s="86" t="s">
        <v>135</v>
      </c>
      <c r="D106" s="94" t="s">
        <v>31</v>
      </c>
      <c r="E106" s="86" t="s">
        <v>180</v>
      </c>
      <c r="F106" s="86" t="s">
        <v>181</v>
      </c>
      <c r="G106" s="86" t="s">
        <v>182</v>
      </c>
      <c r="K106" s="94"/>
      <c r="L106" s="94"/>
      <c r="M106" s="94"/>
      <c r="O106" s="86" t="s">
        <v>217</v>
      </c>
      <c r="P106" s="103">
        <v>7.25129395</v>
      </c>
      <c r="Q106" s="86" t="s">
        <v>159</v>
      </c>
      <c r="R106" s="103">
        <v>3.5757647946372019E-2</v>
      </c>
      <c r="S106" s="86" t="s">
        <v>159</v>
      </c>
      <c r="T106" s="86">
        <v>4</v>
      </c>
      <c r="U106" s="86">
        <v>7.2130000000000001</v>
      </c>
      <c r="W106" s="149">
        <v>5.3090184389296977E-3</v>
      </c>
      <c r="X106" s="86" t="s">
        <v>1473</v>
      </c>
      <c r="Y106" s="86" t="s">
        <v>1423</v>
      </c>
      <c r="Z106" s="103">
        <v>9.7954533250000004</v>
      </c>
      <c r="AA106" s="86" t="s">
        <v>159</v>
      </c>
      <c r="AB106" s="103">
        <v>2.12323657881659E-2</v>
      </c>
      <c r="AC106" s="86" t="s">
        <v>159</v>
      </c>
      <c r="AD106" s="86">
        <v>4</v>
      </c>
      <c r="AE106" s="86">
        <v>9.6890000000000001</v>
      </c>
      <c r="AG106" s="149">
        <v>1.0987029105170852E-2</v>
      </c>
      <c r="AH106" s="86" t="s">
        <v>1473</v>
      </c>
      <c r="AI106" s="86" t="s">
        <v>1424</v>
      </c>
      <c r="AJ106" s="103">
        <v>0.28273093333333327</v>
      </c>
      <c r="AK106" s="86" t="s">
        <v>159</v>
      </c>
      <c r="AL106" s="103">
        <v>6.3853826238787796E-3</v>
      </c>
      <c r="AM106" s="86" t="s">
        <v>159</v>
      </c>
      <c r="AN106" s="86">
        <v>3</v>
      </c>
      <c r="AO106" s="86">
        <v>0.28399999999999997</v>
      </c>
      <c r="AQ106" s="149">
        <v>-4.4685446009391106E-3</v>
      </c>
      <c r="AR106" s="86" t="s">
        <v>1473</v>
      </c>
    </row>
    <row r="107" spans="1:44">
      <c r="A107" s="78">
        <v>7</v>
      </c>
      <c r="B107" s="86" t="s">
        <v>136</v>
      </c>
      <c r="D107" s="94" t="s">
        <v>31</v>
      </c>
      <c r="E107" s="86" t="s">
        <v>180</v>
      </c>
      <c r="F107" s="86" t="s">
        <v>181</v>
      </c>
      <c r="G107" s="86" t="s">
        <v>182</v>
      </c>
      <c r="K107" s="94"/>
      <c r="L107" s="94"/>
      <c r="M107" s="94"/>
      <c r="O107" s="86" t="s">
        <v>217</v>
      </c>
      <c r="P107" s="103">
        <v>11.476985625000001</v>
      </c>
      <c r="Q107" s="86" t="s">
        <v>159</v>
      </c>
      <c r="R107" s="103">
        <v>9.1529886460265816E-2</v>
      </c>
      <c r="S107" s="86" t="s">
        <v>159</v>
      </c>
      <c r="T107" s="86">
        <v>4</v>
      </c>
      <c r="U107" s="86">
        <v>11.43</v>
      </c>
      <c r="W107" s="149">
        <v>4.1107283464568121E-3</v>
      </c>
      <c r="X107" s="86" t="s">
        <v>1473</v>
      </c>
      <c r="Y107" s="86" t="s">
        <v>1423</v>
      </c>
      <c r="Z107" s="103">
        <v>13.474119325</v>
      </c>
      <c r="AA107" s="86" t="s">
        <v>159</v>
      </c>
      <c r="AB107" s="103">
        <v>8.7869637582780588E-2</v>
      </c>
      <c r="AC107" s="86" t="s">
        <v>159</v>
      </c>
      <c r="AD107" s="86">
        <v>4</v>
      </c>
      <c r="AE107" s="86">
        <v>13.29</v>
      </c>
      <c r="AG107" s="149">
        <v>1.3853974793077583E-2</v>
      </c>
      <c r="AH107" s="86" t="s">
        <v>1473</v>
      </c>
      <c r="AI107" s="86" t="s">
        <v>1424</v>
      </c>
      <c r="AJ107" s="103">
        <v>1.1544294666666668</v>
      </c>
      <c r="AK107" s="86" t="s">
        <v>159</v>
      </c>
      <c r="AL107" s="103">
        <v>9.9979940814812675E-3</v>
      </c>
      <c r="AM107" s="86" t="s">
        <v>159</v>
      </c>
      <c r="AN107" s="86">
        <v>3</v>
      </c>
      <c r="AO107" s="86">
        <v>1.1779999999999999</v>
      </c>
      <c r="AQ107" s="149">
        <v>-2.0008941709111328E-2</v>
      </c>
      <c r="AR107" s="86" t="s">
        <v>1473</v>
      </c>
    </row>
    <row r="108" spans="1:44">
      <c r="A108" s="78">
        <v>7</v>
      </c>
      <c r="B108" s="86" t="s">
        <v>137</v>
      </c>
      <c r="D108" s="94" t="s">
        <v>31</v>
      </c>
      <c r="E108" s="86" t="s">
        <v>180</v>
      </c>
      <c r="F108" s="86" t="s">
        <v>181</v>
      </c>
      <c r="G108" s="86" t="s">
        <v>182</v>
      </c>
      <c r="K108" s="94"/>
      <c r="L108" s="94"/>
      <c r="M108" s="94"/>
      <c r="O108" s="86" t="s">
        <v>217</v>
      </c>
      <c r="P108" s="103">
        <v>2.2622288250000002</v>
      </c>
      <c r="Q108" s="86" t="s">
        <v>159</v>
      </c>
      <c r="R108" s="103">
        <v>2.3491188943144031E-2</v>
      </c>
      <c r="S108" s="86" t="s">
        <v>159</v>
      </c>
      <c r="T108" s="86">
        <v>4</v>
      </c>
      <c r="U108" s="86">
        <v>2.3130000000000002</v>
      </c>
      <c r="W108" s="149">
        <v>-2.1950356679636809E-2</v>
      </c>
      <c r="X108" s="86" t="s">
        <v>1473</v>
      </c>
      <c r="Y108" s="86" t="s">
        <v>1423</v>
      </c>
      <c r="Z108" s="103">
        <v>1.8782806249999999</v>
      </c>
      <c r="AA108" s="86" t="s">
        <v>159</v>
      </c>
      <c r="AB108" s="103">
        <v>4.8115499300295022E-3</v>
      </c>
      <c r="AC108" s="86" t="s">
        <v>159</v>
      </c>
      <c r="AD108" s="86">
        <v>4</v>
      </c>
      <c r="AE108" s="86">
        <v>1.8320000000000001</v>
      </c>
      <c r="AG108" s="149">
        <v>2.5262349890829615E-2</v>
      </c>
      <c r="AH108" s="86" t="s">
        <v>1473</v>
      </c>
      <c r="AI108" s="86" t="s">
        <v>1424</v>
      </c>
      <c r="AJ108" s="103">
        <v>4.0059066666666672</v>
      </c>
      <c r="AK108" s="86" t="s">
        <v>159</v>
      </c>
      <c r="AL108" s="103">
        <v>4.4465346961125772E-2</v>
      </c>
      <c r="AM108" s="86" t="s">
        <v>159</v>
      </c>
      <c r="AN108" s="86">
        <v>3</v>
      </c>
      <c r="AO108" s="86">
        <v>4.0860000000000003</v>
      </c>
      <c r="AQ108" s="149">
        <v>-1.9601892641540167E-2</v>
      </c>
      <c r="AR108" s="86" t="s">
        <v>1473</v>
      </c>
    </row>
    <row r="109" spans="1:44">
      <c r="A109" s="78">
        <v>7</v>
      </c>
      <c r="B109" s="86" t="s">
        <v>138</v>
      </c>
      <c r="D109" s="94" t="s">
        <v>31</v>
      </c>
      <c r="E109" s="86" t="s">
        <v>180</v>
      </c>
      <c r="F109" s="86" t="s">
        <v>181</v>
      </c>
      <c r="G109" s="86" t="s">
        <v>182</v>
      </c>
      <c r="K109" s="94"/>
      <c r="L109" s="94"/>
      <c r="M109" s="94"/>
      <c r="O109" s="86" t="s">
        <v>217</v>
      </c>
      <c r="P109" s="103">
        <v>0.48345310000000002</v>
      </c>
      <c r="Q109" s="86" t="s">
        <v>159</v>
      </c>
      <c r="R109" s="103">
        <v>4.9918842381075825E-3</v>
      </c>
      <c r="S109" s="86" t="s">
        <v>159</v>
      </c>
      <c r="T109" s="86">
        <v>4</v>
      </c>
      <c r="U109" s="86">
        <v>0.52559999999999996</v>
      </c>
      <c r="W109" s="149">
        <v>-8.0188165905631534E-2</v>
      </c>
      <c r="X109" s="86" t="s">
        <v>1473</v>
      </c>
      <c r="Y109" s="86" t="s">
        <v>1423</v>
      </c>
      <c r="Z109" s="103">
        <v>2.6383875000000005E-2</v>
      </c>
      <c r="AA109" s="86" t="s">
        <v>159</v>
      </c>
      <c r="AB109" s="103">
        <v>1.5076499999999988E-3</v>
      </c>
      <c r="AC109" s="86" t="s">
        <v>159</v>
      </c>
      <c r="AD109" s="86">
        <v>4</v>
      </c>
      <c r="AE109" s="86">
        <v>2.9000000000000001E-2</v>
      </c>
      <c r="AG109" s="149">
        <v>-9.0211206896551613E-2</v>
      </c>
      <c r="AH109" s="86" t="s">
        <v>1473</v>
      </c>
      <c r="AI109" s="86" t="s">
        <v>1424</v>
      </c>
      <c r="AJ109" s="103">
        <v>4.0608637333333339</v>
      </c>
      <c r="AK109" s="86" t="s">
        <v>159</v>
      </c>
      <c r="AL109" s="103">
        <v>3.2900765047234472E-2</v>
      </c>
      <c r="AM109" s="86" t="s">
        <v>159</v>
      </c>
      <c r="AN109" s="86">
        <v>3</v>
      </c>
      <c r="AO109" s="86">
        <v>4.2930000000000001</v>
      </c>
      <c r="AQ109" s="149">
        <v>-5.40732044413385E-2</v>
      </c>
      <c r="AR109" s="86" t="s">
        <v>1473</v>
      </c>
    </row>
    <row r="110" spans="1:44">
      <c r="A110" s="78">
        <v>7</v>
      </c>
      <c r="B110" s="86" t="s">
        <v>139</v>
      </c>
      <c r="D110" s="94" t="s">
        <v>31</v>
      </c>
      <c r="E110" s="86" t="s">
        <v>180</v>
      </c>
      <c r="F110" s="86" t="s">
        <v>181</v>
      </c>
      <c r="G110" s="86" t="s">
        <v>182</v>
      </c>
      <c r="K110" s="94"/>
      <c r="L110" s="94"/>
      <c r="M110" s="94"/>
      <c r="O110" s="86" t="s">
        <v>217</v>
      </c>
      <c r="P110" s="103">
        <v>0.27640250000000005</v>
      </c>
      <c r="Q110" s="86" t="s">
        <v>159</v>
      </c>
      <c r="R110" s="103">
        <v>9.5352158287057166E-3</v>
      </c>
      <c r="S110" s="86" t="s">
        <v>159</v>
      </c>
      <c r="T110" s="86">
        <v>4</v>
      </c>
      <c r="U110" s="86">
        <v>0.27729999999999999</v>
      </c>
      <c r="W110" s="149">
        <v>-3.236566895059286E-3</v>
      </c>
      <c r="X110" s="86" t="s">
        <v>1473</v>
      </c>
      <c r="Y110" s="86" t="s">
        <v>1423</v>
      </c>
      <c r="Z110" s="86">
        <v>2.9650450000000002E-2</v>
      </c>
      <c r="AA110" s="86" t="s">
        <v>159</v>
      </c>
      <c r="AB110" s="103">
        <v>1.297578520424357E-3</v>
      </c>
      <c r="AC110" s="86" t="s">
        <v>159</v>
      </c>
      <c r="AD110" s="86">
        <v>4</v>
      </c>
      <c r="AE110" s="86">
        <v>0.03</v>
      </c>
      <c r="AG110" s="149">
        <v>-1.1651666666666571E-2</v>
      </c>
      <c r="AH110" s="86" t="s">
        <v>1473</v>
      </c>
      <c r="AI110" s="86" t="s">
        <v>1424</v>
      </c>
      <c r="AJ110" s="103">
        <v>5.2970666666666666E-2</v>
      </c>
      <c r="AK110" s="86" t="s">
        <v>159</v>
      </c>
      <c r="AL110" s="103">
        <v>2.0675106706697661E-3</v>
      </c>
      <c r="AM110" s="86" t="s">
        <v>159</v>
      </c>
      <c r="AN110" s="86">
        <v>3</v>
      </c>
      <c r="AO110" s="86">
        <v>4.9099999999999998E-2</v>
      </c>
      <c r="AQ110" s="149">
        <v>7.8832315003394465E-2</v>
      </c>
      <c r="AR110" s="86" t="s">
        <v>1473</v>
      </c>
    </row>
    <row r="111" spans="1:44">
      <c r="A111" s="78">
        <v>8</v>
      </c>
      <c r="B111" s="86" t="s">
        <v>140</v>
      </c>
      <c r="D111" s="94" t="s">
        <v>174</v>
      </c>
      <c r="F111" s="86" t="s">
        <v>181</v>
      </c>
      <c r="G111" s="86" t="s">
        <v>182</v>
      </c>
      <c r="K111" s="94"/>
      <c r="L111" s="94"/>
      <c r="M111" s="94"/>
      <c r="W111" s="149"/>
      <c r="Z111" s="86">
        <v>8.1999999999999993</v>
      </c>
      <c r="AG111" s="149"/>
      <c r="AQ111" s="149"/>
    </row>
    <row r="112" spans="1:44">
      <c r="A112" s="89">
        <v>9</v>
      </c>
      <c r="B112" s="86" t="s">
        <v>177</v>
      </c>
      <c r="D112" s="86" t="s">
        <v>184</v>
      </c>
      <c r="F112" s="86" t="s">
        <v>181</v>
      </c>
      <c r="G112" s="86" t="s">
        <v>182</v>
      </c>
      <c r="K112" s="94"/>
      <c r="L112" s="94"/>
      <c r="M112" s="94"/>
      <c r="O112" s="86" t="s">
        <v>217</v>
      </c>
      <c r="P112" s="86">
        <v>8.35</v>
      </c>
      <c r="Q112" s="86" t="s">
        <v>159</v>
      </c>
      <c r="R112" s="86">
        <v>0</v>
      </c>
      <c r="S112" s="86" t="s">
        <v>159</v>
      </c>
      <c r="T112" s="86">
        <v>4</v>
      </c>
      <c r="W112" s="149"/>
      <c r="Y112" s="86" t="s">
        <v>1423</v>
      </c>
      <c r="AA112" s="86" t="s">
        <v>159</v>
      </c>
      <c r="AB112" s="103"/>
      <c r="AG112" s="149"/>
      <c r="AI112" s="86" t="s">
        <v>1424</v>
      </c>
      <c r="AJ112" s="86">
        <v>1.23</v>
      </c>
      <c r="AK112" s="86" t="s">
        <v>159</v>
      </c>
      <c r="AL112" s="103"/>
      <c r="AQ112" s="149"/>
    </row>
    <row r="113" spans="1:44">
      <c r="A113" s="89" t="s">
        <v>1475</v>
      </c>
      <c r="B113" s="86" t="s">
        <v>655</v>
      </c>
      <c r="D113" s="94" t="s">
        <v>31</v>
      </c>
      <c r="E113" s="86" t="s">
        <v>180</v>
      </c>
      <c r="F113" s="86" t="s">
        <v>181</v>
      </c>
      <c r="G113" s="86" t="s">
        <v>182</v>
      </c>
      <c r="K113" s="94"/>
      <c r="L113" s="94"/>
      <c r="M113" s="94"/>
      <c r="O113" s="86" t="s">
        <v>217</v>
      </c>
      <c r="P113" s="86">
        <f>P112+0.9*P104</f>
        <v>11.2064506</v>
      </c>
      <c r="U113" s="86">
        <v>11.07</v>
      </c>
      <c r="W113" s="149">
        <v>1.2039454923216043E-2</v>
      </c>
      <c r="X113" s="86" t="s">
        <v>1473</v>
      </c>
      <c r="Z113" s="86">
        <f>Z111+0.9*Z104</f>
        <v>10.421518127500002</v>
      </c>
      <c r="AB113" s="103"/>
      <c r="AE113" s="86">
        <v>10.249000000000001</v>
      </c>
      <c r="AG113" s="149">
        <v>1.6591840572251059E-2</v>
      </c>
      <c r="AH113" s="86" t="s">
        <v>1473</v>
      </c>
      <c r="AI113" s="86" t="s">
        <v>1424</v>
      </c>
      <c r="AJ113" s="86">
        <f>AJ112+0.9*AJ104</f>
        <v>1.6510852200000001</v>
      </c>
      <c r="AL113" s="103"/>
      <c r="AO113" s="86">
        <v>1.6819999999999999</v>
      </c>
      <c r="AQ113" s="149">
        <v>-1.8657938446293994E-2</v>
      </c>
      <c r="AR113" s="86" t="s">
        <v>1473</v>
      </c>
    </row>
    <row r="114" spans="1:44">
      <c r="A114" s="89">
        <v>10</v>
      </c>
      <c r="B114" s="86" t="s">
        <v>190</v>
      </c>
      <c r="D114" s="94" t="s">
        <v>209</v>
      </c>
      <c r="E114" s="86" t="s">
        <v>219</v>
      </c>
      <c r="F114" s="86" t="s">
        <v>183</v>
      </c>
      <c r="K114" s="94"/>
      <c r="L114" s="94"/>
      <c r="M114" s="94"/>
      <c r="O114" s="86" t="s">
        <v>220</v>
      </c>
      <c r="P114" s="103">
        <v>33.994031514389469</v>
      </c>
      <c r="Q114" s="86" t="s">
        <v>188</v>
      </c>
      <c r="R114" s="103">
        <v>0.51202051044899755</v>
      </c>
      <c r="S114" s="86" t="s">
        <v>188</v>
      </c>
      <c r="T114" s="86">
        <v>2</v>
      </c>
      <c r="U114" s="86">
        <v>35.456742579267988</v>
      </c>
      <c r="W114" s="149">
        <v>-4.1253396631358491E-2</v>
      </c>
      <c r="X114" s="86" t="s">
        <v>1473</v>
      </c>
      <c r="AG114" s="149"/>
      <c r="AQ114" s="149"/>
    </row>
    <row r="115" spans="1:44">
      <c r="A115" s="89">
        <v>10</v>
      </c>
      <c r="B115" s="86" t="s">
        <v>141</v>
      </c>
      <c r="D115" s="94" t="s">
        <v>209</v>
      </c>
      <c r="E115" s="86" t="s">
        <v>219</v>
      </c>
      <c r="F115" s="86" t="s">
        <v>183</v>
      </c>
      <c r="K115" s="94"/>
      <c r="L115" s="94"/>
      <c r="M115" s="94"/>
      <c r="O115" s="86" t="s">
        <v>220</v>
      </c>
      <c r="P115" s="103">
        <v>256.6921004650028</v>
      </c>
      <c r="Q115" s="86" t="s">
        <v>188</v>
      </c>
      <c r="R115" s="103">
        <v>2.6079189641613136</v>
      </c>
      <c r="S115" s="86" t="s">
        <v>188</v>
      </c>
      <c r="T115" s="86">
        <v>2</v>
      </c>
      <c r="U115" s="86">
        <v>263.65243503346483</v>
      </c>
      <c r="W115" s="149">
        <v>-2.6399659717076276E-2</v>
      </c>
      <c r="X115" s="86" t="s">
        <v>1473</v>
      </c>
      <c r="AG115" s="149"/>
      <c r="AQ115" s="149"/>
    </row>
    <row r="116" spans="1:44">
      <c r="A116" s="89">
        <v>10</v>
      </c>
      <c r="B116" s="86" t="s">
        <v>142</v>
      </c>
      <c r="D116" s="94" t="s">
        <v>209</v>
      </c>
      <c r="E116" s="86" t="s">
        <v>219</v>
      </c>
      <c r="F116" s="86" t="s">
        <v>183</v>
      </c>
      <c r="K116" s="94"/>
      <c r="L116" s="94"/>
      <c r="M116" s="94"/>
      <c r="O116" s="86" t="s">
        <v>220</v>
      </c>
      <c r="P116" s="103">
        <v>92.110577574759375</v>
      </c>
      <c r="Q116" s="86" t="s">
        <v>188</v>
      </c>
      <c r="R116" s="103">
        <v>0.87187200766940076</v>
      </c>
      <c r="S116" s="86" t="s">
        <v>188</v>
      </c>
      <c r="T116" s="86">
        <v>2</v>
      </c>
      <c r="U116" s="86">
        <v>95.262172309512721</v>
      </c>
      <c r="W116" s="149">
        <v>-3.3083380930193557E-2</v>
      </c>
      <c r="X116" s="86" t="s">
        <v>1473</v>
      </c>
      <c r="AG116" s="149"/>
      <c r="AQ116" s="149"/>
    </row>
    <row r="117" spans="1:44">
      <c r="A117" s="89">
        <v>10</v>
      </c>
      <c r="B117" s="86" t="s">
        <v>143</v>
      </c>
      <c r="D117" s="94" t="s">
        <v>209</v>
      </c>
      <c r="E117" s="86" t="s">
        <v>219</v>
      </c>
      <c r="F117" s="86" t="s">
        <v>183</v>
      </c>
      <c r="K117" s="94"/>
      <c r="L117" s="94"/>
      <c r="M117" s="94"/>
      <c r="O117" s="86" t="s">
        <v>220</v>
      </c>
      <c r="P117" s="103">
        <v>71.328601664089973</v>
      </c>
      <c r="Q117" s="86" t="s">
        <v>188</v>
      </c>
      <c r="R117" s="103">
        <v>1.4578553215391472</v>
      </c>
      <c r="S117" s="86" t="s">
        <v>188</v>
      </c>
      <c r="T117" s="86">
        <v>2</v>
      </c>
      <c r="U117" s="86">
        <v>72.649447079807373</v>
      </c>
      <c r="W117" s="149">
        <v>-1.8181080088144595E-2</v>
      </c>
      <c r="X117" s="86" t="s">
        <v>1473</v>
      </c>
      <c r="AG117" s="149"/>
      <c r="AQ117" s="149"/>
    </row>
    <row r="118" spans="1:44">
      <c r="A118" s="89">
        <v>10</v>
      </c>
      <c r="B118" s="86" t="s">
        <v>191</v>
      </c>
      <c r="D118" s="94" t="s">
        <v>209</v>
      </c>
      <c r="E118" s="86" t="s">
        <v>219</v>
      </c>
      <c r="F118" s="86" t="s">
        <v>183</v>
      </c>
      <c r="K118" s="94"/>
      <c r="L118" s="94"/>
      <c r="M118" s="94"/>
      <c r="O118" s="86" t="s">
        <v>220</v>
      </c>
      <c r="P118" s="103">
        <v>43.053308244716831</v>
      </c>
      <c r="Q118" s="86" t="s">
        <v>188</v>
      </c>
      <c r="R118" s="103">
        <v>0.4202362640721693</v>
      </c>
      <c r="S118" s="86" t="s">
        <v>188</v>
      </c>
      <c r="T118" s="86">
        <v>2</v>
      </c>
      <c r="U118" s="86">
        <v>44.719292165449076</v>
      </c>
      <c r="W118" s="149">
        <v>-3.7254255156109424E-2</v>
      </c>
      <c r="X118" s="86" t="s">
        <v>1473</v>
      </c>
      <c r="AG118" s="149"/>
      <c r="AQ118" s="149"/>
    </row>
    <row r="119" spans="1:44">
      <c r="A119" s="89">
        <v>10</v>
      </c>
      <c r="B119" s="86" t="s">
        <v>145</v>
      </c>
      <c r="D119" s="94" t="s">
        <v>209</v>
      </c>
      <c r="E119" s="86" t="s">
        <v>219</v>
      </c>
      <c r="F119" s="86" t="s">
        <v>183</v>
      </c>
      <c r="K119" s="94"/>
      <c r="L119" s="94"/>
      <c r="M119" s="94"/>
      <c r="O119" s="86" t="s">
        <v>220</v>
      </c>
      <c r="P119" s="103">
        <v>79.752132774926366</v>
      </c>
      <c r="Q119" s="86" t="s">
        <v>188</v>
      </c>
      <c r="R119" s="103">
        <v>2.535286843451698</v>
      </c>
      <c r="S119" s="86" t="s">
        <v>188</v>
      </c>
      <c r="T119" s="86">
        <v>2</v>
      </c>
      <c r="U119" s="86">
        <v>78.479687859763629</v>
      </c>
      <c r="W119" s="149">
        <v>1.621368471083225E-2</v>
      </c>
      <c r="X119" s="86" t="s">
        <v>1473</v>
      </c>
      <c r="AG119" s="149"/>
      <c r="AQ119" s="149"/>
    </row>
    <row r="120" spans="1:44">
      <c r="A120" s="89">
        <v>10</v>
      </c>
      <c r="B120" s="86" t="s">
        <v>147</v>
      </c>
      <c r="D120" s="94" t="s">
        <v>209</v>
      </c>
      <c r="E120" s="86" t="s">
        <v>219</v>
      </c>
      <c r="F120" s="86" t="s">
        <v>183</v>
      </c>
      <c r="K120" s="94"/>
      <c r="L120" s="94"/>
      <c r="M120" s="94"/>
      <c r="O120" s="86" t="s">
        <v>220</v>
      </c>
      <c r="P120" s="103">
        <v>19.222794898287475</v>
      </c>
      <c r="Q120" s="86" t="s">
        <v>188</v>
      </c>
      <c r="R120" s="103">
        <v>0.14502730088886059</v>
      </c>
      <c r="S120" s="86" t="s">
        <v>188</v>
      </c>
      <c r="T120" s="86">
        <v>2</v>
      </c>
      <c r="U120" s="86">
        <v>19.404059808954738</v>
      </c>
      <c r="W120" s="149">
        <v>-9.3415971941918814E-3</v>
      </c>
      <c r="X120" s="86" t="s">
        <v>1473</v>
      </c>
      <c r="AG120" s="149"/>
      <c r="AQ120" s="149"/>
    </row>
    <row r="121" spans="1:44">
      <c r="A121" s="89">
        <v>10</v>
      </c>
      <c r="B121" s="86" t="s">
        <v>148</v>
      </c>
      <c r="D121" s="94" t="s">
        <v>209</v>
      </c>
      <c r="E121" s="86" t="s">
        <v>219</v>
      </c>
      <c r="F121" s="86" t="s">
        <v>183</v>
      </c>
      <c r="K121" s="94"/>
      <c r="L121" s="94"/>
      <c r="M121" s="94"/>
      <c r="O121" s="86" t="s">
        <v>220</v>
      </c>
      <c r="P121" s="103">
        <v>191.59280934385177</v>
      </c>
      <c r="Q121" s="86" t="s">
        <v>188</v>
      </c>
      <c r="R121" s="103">
        <v>1.633044207310574</v>
      </c>
      <c r="S121" s="86" t="s">
        <v>188</v>
      </c>
      <c r="T121" s="86">
        <v>2</v>
      </c>
      <c r="U121" s="86">
        <v>196.87955260165569</v>
      </c>
      <c r="W121" s="149">
        <v>-2.6852678137178277E-2</v>
      </c>
      <c r="X121" s="86" t="s">
        <v>1473</v>
      </c>
      <c r="AG121" s="149"/>
      <c r="AQ121" s="149"/>
    </row>
    <row r="122" spans="1:44">
      <c r="A122" s="89">
        <v>10</v>
      </c>
      <c r="B122" s="86" t="s">
        <v>149</v>
      </c>
      <c r="D122" s="94" t="s">
        <v>209</v>
      </c>
      <c r="E122" s="86" t="s">
        <v>219</v>
      </c>
      <c r="F122" s="86" t="s">
        <v>183</v>
      </c>
      <c r="K122" s="94"/>
      <c r="L122" s="94"/>
      <c r="M122" s="94"/>
      <c r="O122" s="86" t="s">
        <v>220</v>
      </c>
      <c r="P122" s="103">
        <v>22.430195833115803</v>
      </c>
      <c r="Q122" s="86" t="s">
        <v>188</v>
      </c>
      <c r="R122" s="103">
        <v>0.32218435931845213</v>
      </c>
      <c r="S122" s="86" t="s">
        <v>188</v>
      </c>
      <c r="T122" s="86">
        <v>2</v>
      </c>
      <c r="U122" s="86">
        <v>22.021797029278897</v>
      </c>
      <c r="W122" s="149">
        <v>1.8545207881714793E-2</v>
      </c>
      <c r="X122" s="86" t="s">
        <v>1473</v>
      </c>
      <c r="AG122" s="149"/>
      <c r="AQ122" s="149"/>
    </row>
    <row r="123" spans="1:44">
      <c r="A123" s="89">
        <v>10</v>
      </c>
      <c r="B123" s="86" t="s">
        <v>150</v>
      </c>
      <c r="D123" s="94" t="s">
        <v>209</v>
      </c>
      <c r="E123" s="86" t="s">
        <v>219</v>
      </c>
      <c r="F123" s="86" t="s">
        <v>183</v>
      </c>
      <c r="K123" s="94"/>
      <c r="L123" s="94"/>
      <c r="M123" s="94"/>
      <c r="O123" s="86" t="s">
        <v>220</v>
      </c>
      <c r="P123" s="103">
        <v>88.856369802288469</v>
      </c>
      <c r="Q123" s="86" t="s">
        <v>188</v>
      </c>
      <c r="R123" s="103">
        <v>4.6883822804042818</v>
      </c>
      <c r="S123" s="86" t="s">
        <v>188</v>
      </c>
      <c r="T123" s="86">
        <v>2</v>
      </c>
      <c r="U123" s="86">
        <v>90.498945593003327</v>
      </c>
      <c r="W123" s="149">
        <v>-1.8150220203690958E-2</v>
      </c>
      <c r="X123" s="86" t="s">
        <v>1473</v>
      </c>
      <c r="AG123" s="149"/>
      <c r="AQ123" s="149"/>
    </row>
    <row r="124" spans="1:44">
      <c r="A124" s="89">
        <v>10</v>
      </c>
      <c r="B124" s="86" t="s">
        <v>151</v>
      </c>
      <c r="D124" s="94" t="s">
        <v>209</v>
      </c>
      <c r="E124" s="86" t="s">
        <v>219</v>
      </c>
      <c r="F124" s="86" t="s">
        <v>183</v>
      </c>
      <c r="K124" s="94"/>
      <c r="L124" s="94"/>
      <c r="M124" s="94"/>
      <c r="O124" s="86" t="s">
        <v>220</v>
      </c>
      <c r="P124" s="103">
        <v>7.8035148947146835</v>
      </c>
      <c r="Q124" s="86" t="s">
        <v>188</v>
      </c>
      <c r="R124" s="103">
        <v>0.13374373051008043</v>
      </c>
      <c r="S124" s="86" t="s">
        <v>188</v>
      </c>
      <c r="T124" s="86">
        <v>2</v>
      </c>
      <c r="U124" s="86">
        <v>7.3238230659793802</v>
      </c>
      <c r="W124" s="149">
        <v>6.549746278874044E-2</v>
      </c>
      <c r="X124" s="86" t="s">
        <v>1473</v>
      </c>
      <c r="AG124" s="149"/>
      <c r="AQ124" s="149"/>
    </row>
    <row r="125" spans="1:44">
      <c r="A125" s="89">
        <v>10</v>
      </c>
      <c r="B125" s="86" t="s">
        <v>194</v>
      </c>
      <c r="D125" s="94" t="s">
        <v>209</v>
      </c>
      <c r="E125" s="86" t="s">
        <v>219</v>
      </c>
      <c r="F125" s="86" t="s">
        <v>183</v>
      </c>
      <c r="K125" s="94"/>
      <c r="L125" s="94"/>
      <c r="M125" s="94"/>
      <c r="P125" s="103"/>
      <c r="R125" s="103"/>
      <c r="W125" s="149"/>
      <c r="AG125" s="149"/>
      <c r="AQ125" s="149"/>
    </row>
    <row r="126" spans="1:44">
      <c r="A126" s="89">
        <v>10</v>
      </c>
      <c r="B126" s="86" t="s">
        <v>152</v>
      </c>
      <c r="D126" s="94" t="s">
        <v>209</v>
      </c>
      <c r="E126" s="86" t="s">
        <v>219</v>
      </c>
      <c r="F126" s="86" t="s">
        <v>183</v>
      </c>
      <c r="K126" s="94"/>
      <c r="L126" s="94"/>
      <c r="M126" s="94"/>
      <c r="O126" s="86" t="s">
        <v>220</v>
      </c>
      <c r="P126" s="103">
        <v>164.14525252471771</v>
      </c>
      <c r="Q126" s="86" t="s">
        <v>188</v>
      </c>
      <c r="R126" s="103">
        <v>1.6644159168832795</v>
      </c>
      <c r="S126" s="86" t="s">
        <v>188</v>
      </c>
      <c r="T126" s="86">
        <v>2</v>
      </c>
      <c r="U126" s="86">
        <v>169.42225164008647</v>
      </c>
      <c r="W126" s="149">
        <v>-3.1147025047093595E-2</v>
      </c>
      <c r="X126" s="86" t="s">
        <v>1473</v>
      </c>
      <c r="AG126" s="149"/>
      <c r="AQ126" s="149"/>
    </row>
    <row r="127" spans="1:44">
      <c r="A127" s="89">
        <v>10</v>
      </c>
      <c r="B127" s="86" t="s">
        <v>153</v>
      </c>
      <c r="D127" s="94" t="s">
        <v>209</v>
      </c>
      <c r="E127" s="86" t="s">
        <v>219</v>
      </c>
      <c r="F127" s="86" t="s">
        <v>183</v>
      </c>
      <c r="K127" s="94"/>
      <c r="L127" s="94"/>
      <c r="M127" s="94"/>
      <c r="O127" s="86" t="s">
        <v>220</v>
      </c>
      <c r="P127" s="103">
        <v>9.6095154484712282</v>
      </c>
      <c r="Q127" s="86" t="s">
        <v>188</v>
      </c>
      <c r="R127" s="103">
        <v>0.16019128051779447</v>
      </c>
      <c r="S127" s="86" t="s">
        <v>188</v>
      </c>
      <c r="T127" s="86">
        <v>2</v>
      </c>
      <c r="U127" s="86">
        <v>10.465225867747087</v>
      </c>
      <c r="W127" s="149">
        <v>-8.1767028260047739E-2</v>
      </c>
      <c r="X127" s="86" t="s">
        <v>1473</v>
      </c>
      <c r="AG127" s="149"/>
      <c r="AQ127" s="149"/>
    </row>
    <row r="128" spans="1:44">
      <c r="A128" s="89">
        <v>10</v>
      </c>
      <c r="B128" s="86" t="s">
        <v>154</v>
      </c>
      <c r="D128" s="94" t="s">
        <v>209</v>
      </c>
      <c r="E128" s="86" t="s">
        <v>219</v>
      </c>
      <c r="F128" s="86" t="s">
        <v>183</v>
      </c>
      <c r="K128" s="94"/>
      <c r="L128" s="94"/>
      <c r="M128" s="94"/>
      <c r="O128" s="86" t="s">
        <v>220</v>
      </c>
      <c r="P128" s="103">
        <v>23.922673673796616</v>
      </c>
      <c r="Q128" s="86" t="s">
        <v>188</v>
      </c>
      <c r="R128" s="103">
        <v>0.55491843612206249</v>
      </c>
      <c r="S128" s="86" t="s">
        <v>188</v>
      </c>
      <c r="T128" s="86">
        <v>2</v>
      </c>
      <c r="U128" s="86">
        <v>22.997110973830985</v>
      </c>
      <c r="W128" s="149">
        <v>4.0246911928148429E-2</v>
      </c>
      <c r="X128" s="86" t="s">
        <v>1473</v>
      </c>
      <c r="AG128" s="149"/>
      <c r="AQ128" s="149"/>
    </row>
    <row r="129" spans="1:43">
      <c r="A129" s="89">
        <v>10</v>
      </c>
      <c r="B129" s="86" t="s">
        <v>195</v>
      </c>
      <c r="D129" s="94" t="s">
        <v>209</v>
      </c>
      <c r="E129" s="86" t="s">
        <v>219</v>
      </c>
      <c r="F129" s="86" t="s">
        <v>183</v>
      </c>
      <c r="K129" s="94"/>
      <c r="L129" s="94"/>
      <c r="M129" s="94"/>
      <c r="O129" s="86" t="s">
        <v>220</v>
      </c>
      <c r="P129" s="103">
        <v>3.0059440071408243</v>
      </c>
      <c r="Q129" s="86" t="s">
        <v>188</v>
      </c>
      <c r="R129" s="103">
        <v>6.5829380668537732E-2</v>
      </c>
      <c r="S129" s="86" t="s">
        <v>188</v>
      </c>
      <c r="T129" s="86">
        <v>2</v>
      </c>
      <c r="U129" s="86">
        <v>3.0201458875163603</v>
      </c>
      <c r="W129" s="149">
        <v>-4.7023822373080653E-3</v>
      </c>
      <c r="X129" s="86" t="s">
        <v>1473</v>
      </c>
      <c r="AG129" s="149"/>
      <c r="AQ129" s="149"/>
    </row>
    <row r="130" spans="1:43">
      <c r="A130" s="89">
        <v>10</v>
      </c>
      <c r="B130" s="86" t="s">
        <v>155</v>
      </c>
      <c r="D130" s="94" t="s">
        <v>209</v>
      </c>
      <c r="E130" s="86" t="s">
        <v>219</v>
      </c>
      <c r="F130" s="86" t="s">
        <v>183</v>
      </c>
      <c r="K130" s="94"/>
      <c r="L130" s="94"/>
      <c r="M130" s="94"/>
      <c r="O130" s="86" t="s">
        <v>220</v>
      </c>
      <c r="P130" s="103">
        <v>13.138702265209105</v>
      </c>
      <c r="Q130" s="86" t="s">
        <v>188</v>
      </c>
      <c r="R130" s="103">
        <v>0.25163173982406761</v>
      </c>
      <c r="S130" s="86" t="s">
        <v>188</v>
      </c>
      <c r="T130" s="86">
        <v>2</v>
      </c>
      <c r="U130" s="86">
        <v>12.986557344602891</v>
      </c>
      <c r="W130" s="149">
        <v>1.1715569921188045E-2</v>
      </c>
      <c r="X130" s="86" t="s">
        <v>1473</v>
      </c>
      <c r="AG130" s="149"/>
      <c r="AQ130" s="149"/>
    </row>
    <row r="131" spans="1:43">
      <c r="A131" s="89">
        <v>10</v>
      </c>
      <c r="B131" s="86" t="s">
        <v>196</v>
      </c>
      <c r="D131" s="94" t="s">
        <v>209</v>
      </c>
      <c r="E131" s="86" t="s">
        <v>219</v>
      </c>
      <c r="F131" s="86" t="s">
        <v>183</v>
      </c>
      <c r="K131" s="94"/>
      <c r="L131" s="94"/>
      <c r="M131" s="94"/>
      <c r="O131" s="86" t="s">
        <v>220</v>
      </c>
      <c r="P131" s="103">
        <v>3.199974700218073</v>
      </c>
      <c r="Q131" s="86" t="s">
        <v>188</v>
      </c>
      <c r="R131" s="103">
        <v>7.4446585626511783E-2</v>
      </c>
      <c r="S131" s="86" t="s">
        <v>188</v>
      </c>
      <c r="T131" s="86">
        <v>2</v>
      </c>
      <c r="U131" s="86">
        <v>3.2919387638872704</v>
      </c>
      <c r="W131" s="149">
        <v>-2.7936140452564821E-2</v>
      </c>
      <c r="X131" s="86" t="s">
        <v>1473</v>
      </c>
      <c r="AG131" s="149"/>
      <c r="AQ131" s="149"/>
    </row>
    <row r="132" spans="1:43">
      <c r="A132" s="89">
        <v>10</v>
      </c>
      <c r="B132" s="86" t="s">
        <v>197</v>
      </c>
      <c r="D132" s="94" t="s">
        <v>209</v>
      </c>
      <c r="E132" s="86" t="s">
        <v>219</v>
      </c>
      <c r="F132" s="86" t="s">
        <v>183</v>
      </c>
      <c r="K132" s="94"/>
      <c r="L132" s="94"/>
      <c r="M132" s="94"/>
      <c r="O132" s="86" t="s">
        <v>220</v>
      </c>
      <c r="P132" s="103">
        <v>1.0559235478813251</v>
      </c>
      <c r="Q132" s="86" t="s">
        <v>188</v>
      </c>
      <c r="R132" s="103">
        <v>1.8501554511602084E-2</v>
      </c>
      <c r="S132" s="86" t="s">
        <v>188</v>
      </c>
      <c r="T132" s="86">
        <v>2</v>
      </c>
      <c r="U132" s="86">
        <v>1.1159459980946114</v>
      </c>
      <c r="W132" s="149">
        <v>-5.3786160186756138E-2</v>
      </c>
      <c r="X132" s="86" t="s">
        <v>1473</v>
      </c>
      <c r="AG132" s="149"/>
      <c r="AQ132" s="149"/>
    </row>
    <row r="133" spans="1:43">
      <c r="A133" s="89">
        <v>10</v>
      </c>
      <c r="B133" s="86" t="s">
        <v>198</v>
      </c>
      <c r="D133" s="94" t="s">
        <v>209</v>
      </c>
      <c r="E133" s="86" t="s">
        <v>219</v>
      </c>
      <c r="F133" s="86" t="s">
        <v>183</v>
      </c>
      <c r="K133" s="94"/>
      <c r="L133" s="94"/>
      <c r="M133" s="94"/>
      <c r="O133" s="86" t="s">
        <v>220</v>
      </c>
      <c r="P133" s="103">
        <v>3.5016323266026355</v>
      </c>
      <c r="Q133" s="86" t="s">
        <v>188</v>
      </c>
      <c r="R133" s="103">
        <v>6.6194409430460774E-2</v>
      </c>
      <c r="S133" s="86" t="s">
        <v>188</v>
      </c>
      <c r="T133" s="86">
        <v>2</v>
      </c>
      <c r="U133" s="86">
        <v>3.7056227217724556</v>
      </c>
      <c r="W133" s="149">
        <v>-5.5048883949051455E-2</v>
      </c>
      <c r="X133" s="86" t="s">
        <v>1473</v>
      </c>
      <c r="AG133" s="149"/>
      <c r="AQ133" s="149"/>
    </row>
    <row r="134" spans="1:43">
      <c r="A134" s="89">
        <v>10</v>
      </c>
      <c r="B134" s="86" t="s">
        <v>199</v>
      </c>
      <c r="D134" s="94" t="s">
        <v>209</v>
      </c>
      <c r="E134" s="86" t="s">
        <v>219</v>
      </c>
      <c r="F134" s="86" t="s">
        <v>183</v>
      </c>
      <c r="K134" s="94"/>
      <c r="L134" s="94"/>
      <c r="M134" s="94"/>
      <c r="O134" s="86" t="s">
        <v>220</v>
      </c>
      <c r="P134" s="103">
        <v>0.56599763675498638</v>
      </c>
      <c r="Q134" s="86" t="s">
        <v>188</v>
      </c>
      <c r="R134" s="103">
        <v>6.1101485500216794E-3</v>
      </c>
      <c r="S134" s="86" t="s">
        <v>188</v>
      </c>
      <c r="T134" s="86">
        <v>2</v>
      </c>
      <c r="U134" s="86">
        <v>0.61886186020554934</v>
      </c>
      <c r="W134" s="149">
        <v>-8.5421685920351584E-2</v>
      </c>
      <c r="X134" s="86" t="s">
        <v>1473</v>
      </c>
      <c r="AG134" s="149"/>
      <c r="AQ134" s="149"/>
    </row>
    <row r="135" spans="1:43">
      <c r="A135" s="89">
        <v>10</v>
      </c>
      <c r="B135" s="86" t="s">
        <v>200</v>
      </c>
      <c r="D135" s="94" t="s">
        <v>209</v>
      </c>
      <c r="E135" s="86" t="s">
        <v>219</v>
      </c>
      <c r="F135" s="86" t="s">
        <v>183</v>
      </c>
      <c r="K135" s="94"/>
      <c r="L135" s="94"/>
      <c r="M135" s="94"/>
      <c r="O135" s="86" t="s">
        <v>220</v>
      </c>
      <c r="P135" s="103">
        <v>3.3705676813530703</v>
      </c>
      <c r="Q135" s="86" t="s">
        <v>188</v>
      </c>
      <c r="R135" s="103">
        <v>4.3809632077640978E-2</v>
      </c>
      <c r="S135" s="86" t="s">
        <v>188</v>
      </c>
      <c r="T135" s="86">
        <v>2</v>
      </c>
      <c r="U135" s="86">
        <v>3.7790236268594679</v>
      </c>
      <c r="W135" s="149">
        <v>-0.10808504678385464</v>
      </c>
      <c r="X135" s="86" t="s">
        <v>1473</v>
      </c>
      <c r="AG135" s="149"/>
      <c r="AQ135" s="149"/>
    </row>
    <row r="136" spans="1:43">
      <c r="A136" s="89">
        <v>10</v>
      </c>
      <c r="B136" s="86" t="s">
        <v>201</v>
      </c>
      <c r="D136" s="94" t="s">
        <v>209</v>
      </c>
      <c r="E136" s="86" t="s">
        <v>219</v>
      </c>
      <c r="F136" s="86" t="s">
        <v>183</v>
      </c>
      <c r="K136" s="94"/>
      <c r="L136" s="94"/>
      <c r="M136" s="94"/>
      <c r="O136" s="86" t="s">
        <v>220</v>
      </c>
      <c r="P136" s="103">
        <v>0.69081701461619471</v>
      </c>
      <c r="Q136" s="86" t="s">
        <v>188</v>
      </c>
      <c r="R136" s="103">
        <v>5.5580566259414745E-3</v>
      </c>
      <c r="S136" s="86" t="s">
        <v>188</v>
      </c>
      <c r="T136" s="86">
        <v>2</v>
      </c>
      <c r="U136" s="86">
        <v>0.79335699681505556</v>
      </c>
      <c r="W136" s="149">
        <v>-0.12924822319650456</v>
      </c>
      <c r="X136" s="86" t="s">
        <v>1473</v>
      </c>
      <c r="AG136" s="149"/>
      <c r="AQ136" s="149"/>
    </row>
    <row r="137" spans="1:43">
      <c r="A137" s="89">
        <v>10</v>
      </c>
      <c r="B137" s="86" t="s">
        <v>202</v>
      </c>
      <c r="D137" s="94" t="s">
        <v>209</v>
      </c>
      <c r="E137" s="86" t="s">
        <v>219</v>
      </c>
      <c r="F137" s="86" t="s">
        <v>183</v>
      </c>
      <c r="K137" s="94"/>
      <c r="L137" s="94"/>
      <c r="M137" s="94"/>
      <c r="O137" s="86" t="s">
        <v>220</v>
      </c>
      <c r="P137" s="103">
        <v>1.9273382652520747</v>
      </c>
      <c r="Q137" s="86" t="s">
        <v>188</v>
      </c>
      <c r="R137" s="103">
        <v>1.2957851180090114E-2</v>
      </c>
      <c r="S137" s="86" t="s">
        <v>188</v>
      </c>
      <c r="T137" s="86">
        <v>2</v>
      </c>
      <c r="U137" s="86">
        <v>2.2081409291231915</v>
      </c>
      <c r="W137" s="149">
        <v>-0.12716700286997437</v>
      </c>
      <c r="X137" s="86" t="s">
        <v>1473</v>
      </c>
      <c r="AG137" s="149"/>
      <c r="AQ137" s="149"/>
    </row>
    <row r="138" spans="1:43">
      <c r="A138" s="89">
        <v>10</v>
      </c>
      <c r="B138" s="86" t="s">
        <v>203</v>
      </c>
      <c r="D138" s="94" t="s">
        <v>209</v>
      </c>
      <c r="E138" s="86" t="s">
        <v>219</v>
      </c>
      <c r="F138" s="86" t="s">
        <v>183</v>
      </c>
      <c r="K138" s="94"/>
      <c r="L138" s="94"/>
      <c r="M138" s="94"/>
      <c r="O138" s="86" t="s">
        <v>220</v>
      </c>
      <c r="P138" s="103">
        <v>0.28799278174488835</v>
      </c>
      <c r="Q138" s="86" t="s">
        <v>188</v>
      </c>
      <c r="R138" s="103">
        <v>4.7000128599598619E-3</v>
      </c>
      <c r="S138" s="86" t="s">
        <v>188</v>
      </c>
      <c r="T138" s="86">
        <v>2</v>
      </c>
      <c r="U138" s="86">
        <v>0.32354904592030337</v>
      </c>
      <c r="W138" s="149">
        <v>-0.10989451096750642</v>
      </c>
      <c r="X138" s="86" t="s">
        <v>1473</v>
      </c>
      <c r="AG138" s="149"/>
    </row>
    <row r="139" spans="1:43">
      <c r="A139" s="89">
        <v>10</v>
      </c>
      <c r="B139" s="86" t="s">
        <v>204</v>
      </c>
      <c r="D139" s="94" t="s">
        <v>209</v>
      </c>
      <c r="E139" s="86" t="s">
        <v>219</v>
      </c>
      <c r="F139" s="86" t="s">
        <v>183</v>
      </c>
      <c r="K139" s="94"/>
      <c r="L139" s="94"/>
      <c r="M139" s="94"/>
      <c r="O139" s="86" t="s">
        <v>220</v>
      </c>
      <c r="P139" s="103">
        <v>1.8824335005499804</v>
      </c>
      <c r="Q139" s="86" t="s">
        <v>188</v>
      </c>
      <c r="R139" s="103">
        <v>4.4629391087842959E-2</v>
      </c>
      <c r="S139" s="86" t="s">
        <v>188</v>
      </c>
      <c r="T139" s="86">
        <v>2</v>
      </c>
      <c r="U139" s="86">
        <v>2.0768720302694277</v>
      </c>
      <c r="W139" s="149">
        <v>-9.3620852361434734E-2</v>
      </c>
      <c r="X139" s="86" t="s">
        <v>1473</v>
      </c>
      <c r="AG139" s="149"/>
    </row>
    <row r="140" spans="1:43">
      <c r="A140" s="89">
        <v>10</v>
      </c>
      <c r="B140" s="86" t="s">
        <v>205</v>
      </c>
      <c r="D140" s="94" t="s">
        <v>209</v>
      </c>
      <c r="E140" s="86" t="s">
        <v>219</v>
      </c>
      <c r="F140" s="86" t="s">
        <v>183</v>
      </c>
      <c r="K140" s="94"/>
      <c r="L140" s="94"/>
      <c r="M140" s="94"/>
      <c r="O140" s="86" t="s">
        <v>220</v>
      </c>
      <c r="P140" s="103">
        <v>0.27841164343486796</v>
      </c>
      <c r="Q140" s="86" t="s">
        <v>188</v>
      </c>
      <c r="R140" s="103">
        <v>4.3354319304739894E-3</v>
      </c>
      <c r="S140" s="86" t="s">
        <v>188</v>
      </c>
      <c r="T140" s="86">
        <v>2</v>
      </c>
      <c r="U140" s="86">
        <v>0.30488342084029707</v>
      </c>
      <c r="W140" s="149">
        <v>-8.6825899986524555E-2</v>
      </c>
      <c r="X140" s="86" t="s">
        <v>1473</v>
      </c>
      <c r="AG140" s="149"/>
    </row>
    <row r="141" spans="1:43">
      <c r="A141" s="89">
        <v>10</v>
      </c>
      <c r="B141" s="86" t="s">
        <v>206</v>
      </c>
      <c r="D141" s="94" t="s">
        <v>209</v>
      </c>
      <c r="E141" s="86" t="s">
        <v>219</v>
      </c>
      <c r="F141" s="86" t="s">
        <v>183</v>
      </c>
      <c r="K141" s="94"/>
      <c r="L141" s="94"/>
      <c r="M141" s="94"/>
      <c r="O141" s="86" t="s">
        <v>220</v>
      </c>
      <c r="P141" s="103">
        <v>2.2316699131938735</v>
      </c>
      <c r="Q141" s="86" t="s">
        <v>188</v>
      </c>
      <c r="R141" s="103">
        <v>6.2678587504619215E-2</v>
      </c>
      <c r="S141" s="86" t="s">
        <v>188</v>
      </c>
      <c r="T141" s="86">
        <v>2</v>
      </c>
      <c r="U141" s="86">
        <v>2.3997659120561932</v>
      </c>
      <c r="W141" s="149">
        <v>-7.0046831658797007E-2</v>
      </c>
      <c r="X141" s="86" t="s">
        <v>1473</v>
      </c>
      <c r="AG141" s="149"/>
    </row>
    <row r="142" spans="1:43">
      <c r="A142" s="89">
        <v>10</v>
      </c>
      <c r="B142" s="86" t="s">
        <v>208</v>
      </c>
      <c r="D142" s="94" t="s">
        <v>209</v>
      </c>
      <c r="E142" s="86" t="s">
        <v>219</v>
      </c>
      <c r="F142" s="86" t="s">
        <v>183</v>
      </c>
      <c r="K142" s="94"/>
      <c r="L142" s="94"/>
      <c r="M142" s="94"/>
      <c r="O142" s="86" t="s">
        <v>220</v>
      </c>
      <c r="P142" s="103">
        <v>0.28960972816235508</v>
      </c>
      <c r="Q142" s="86" t="s">
        <v>188</v>
      </c>
      <c r="R142" s="103">
        <v>1.033899928007187E-2</v>
      </c>
      <c r="S142" s="86" t="s">
        <v>188</v>
      </c>
      <c r="T142" s="86">
        <v>2</v>
      </c>
      <c r="U142" s="86">
        <v>0.30680168234137556</v>
      </c>
      <c r="W142" s="149">
        <v>-5.6036049241383029E-2</v>
      </c>
      <c r="X142" s="86" t="s">
        <v>1473</v>
      </c>
      <c r="AG142" s="149"/>
    </row>
    <row r="143" spans="1:43">
      <c r="A143" s="89">
        <v>10</v>
      </c>
      <c r="B143" s="86" t="s">
        <v>207</v>
      </c>
      <c r="D143" s="94" t="s">
        <v>209</v>
      </c>
      <c r="E143" s="86" t="s">
        <v>219</v>
      </c>
      <c r="F143" s="86" t="s">
        <v>183</v>
      </c>
      <c r="K143" s="94"/>
      <c r="L143" s="94"/>
      <c r="M143" s="94"/>
      <c r="O143" s="86" t="s">
        <v>220</v>
      </c>
      <c r="P143" s="103">
        <v>0.44560935021949938</v>
      </c>
      <c r="Q143" s="86" t="s">
        <v>188</v>
      </c>
      <c r="R143" s="103">
        <v>3.1190291087577787E-2</v>
      </c>
      <c r="S143" s="86" t="s">
        <v>188</v>
      </c>
      <c r="T143" s="86">
        <v>2</v>
      </c>
      <c r="U143" s="86">
        <v>0.49113042287565328</v>
      </c>
      <c r="W143" s="149">
        <v>-9.2686322279976419E-2</v>
      </c>
      <c r="X143" s="86" t="s">
        <v>1473</v>
      </c>
      <c r="AG143" s="149"/>
    </row>
    <row r="144" spans="1:43">
      <c r="A144" s="89">
        <v>10</v>
      </c>
      <c r="B144" s="86" t="s">
        <v>156</v>
      </c>
      <c r="D144" s="94" t="s">
        <v>209</v>
      </c>
      <c r="E144" s="86" t="s">
        <v>219</v>
      </c>
      <c r="F144" s="86" t="s">
        <v>183</v>
      </c>
      <c r="K144" s="94"/>
      <c r="L144" s="94"/>
      <c r="M144" s="94"/>
      <c r="O144" s="86" t="s">
        <v>220</v>
      </c>
      <c r="P144" s="103">
        <v>7.7892184109071341</v>
      </c>
      <c r="Q144" s="86" t="s">
        <v>188</v>
      </c>
      <c r="R144" s="103">
        <v>0.15534673765598161</v>
      </c>
      <c r="S144" s="86" t="s">
        <v>188</v>
      </c>
      <c r="T144" s="86">
        <v>2</v>
      </c>
      <c r="U144" s="86">
        <v>8.0007199008440129</v>
      </c>
      <c r="W144" s="149">
        <v>-2.6435307392096933E-2</v>
      </c>
      <c r="X144" s="86" t="s">
        <v>1473</v>
      </c>
      <c r="AG144" s="149"/>
    </row>
    <row r="145" spans="1:33">
      <c r="A145" s="89">
        <v>10</v>
      </c>
      <c r="B145" s="86" t="s">
        <v>157</v>
      </c>
      <c r="D145" s="94" t="s">
        <v>209</v>
      </c>
      <c r="E145" s="86" t="s">
        <v>219</v>
      </c>
      <c r="F145" s="86" t="s">
        <v>183</v>
      </c>
      <c r="K145" s="94"/>
      <c r="L145" s="94"/>
      <c r="M145" s="94"/>
      <c r="O145" s="86" t="s">
        <v>220</v>
      </c>
      <c r="P145" s="103">
        <v>2.1225490125078084</v>
      </c>
      <c r="Q145" s="86" t="s">
        <v>188</v>
      </c>
      <c r="R145" s="103">
        <v>2.2067174538127329E-2</v>
      </c>
      <c r="S145" s="86" t="s">
        <v>188</v>
      </c>
      <c r="T145" s="86">
        <v>2</v>
      </c>
      <c r="U145" s="86">
        <v>2.0906500171836244</v>
      </c>
      <c r="W145" s="149">
        <v>1.5257931773370662E-2</v>
      </c>
      <c r="X145" s="86" t="s">
        <v>1473</v>
      </c>
      <c r="AG145" s="149"/>
    </row>
    <row r="146" spans="1:33">
      <c r="A146" s="89">
        <v>10</v>
      </c>
      <c r="B146" s="86" t="s">
        <v>158</v>
      </c>
      <c r="D146" s="94" t="s">
        <v>209</v>
      </c>
      <c r="E146" s="86" t="s">
        <v>219</v>
      </c>
      <c r="F146" s="86" t="s">
        <v>183</v>
      </c>
      <c r="K146" s="94"/>
      <c r="L146" s="94"/>
      <c r="M146" s="94"/>
      <c r="O146" s="86" t="s">
        <v>220</v>
      </c>
      <c r="P146" s="103">
        <v>0.48375247514330777</v>
      </c>
      <c r="Q146" s="86" t="s">
        <v>188</v>
      </c>
      <c r="R146" s="103">
        <v>7.5132631163476191E-5</v>
      </c>
      <c r="S146" s="86" t="s">
        <v>188</v>
      </c>
      <c r="T146" s="86">
        <v>2</v>
      </c>
      <c r="U146" s="86">
        <v>0.50546954232264918</v>
      </c>
      <c r="W146" s="149">
        <v>-4.2964145929645474E-2</v>
      </c>
      <c r="X146" s="86" t="s">
        <v>1473</v>
      </c>
      <c r="AG146" s="149"/>
    </row>
    <row r="147" spans="1:33">
      <c r="A147" s="89">
        <v>11</v>
      </c>
      <c r="B147" s="86" t="s">
        <v>32</v>
      </c>
      <c r="D147" s="86" t="s">
        <v>1485</v>
      </c>
      <c r="F147" s="86" t="s">
        <v>1486</v>
      </c>
      <c r="K147" s="94"/>
      <c r="L147" s="94"/>
      <c r="M147" s="94"/>
      <c r="W147" s="149"/>
      <c r="AG147" s="149"/>
    </row>
    <row r="148" spans="1:33">
      <c r="A148" s="89">
        <v>11</v>
      </c>
      <c r="B148" s="86" t="s">
        <v>131</v>
      </c>
      <c r="D148" s="86" t="s">
        <v>1485</v>
      </c>
      <c r="F148" s="86" t="s">
        <v>1486</v>
      </c>
      <c r="K148" s="94"/>
      <c r="L148" s="94"/>
      <c r="M148" s="94"/>
      <c r="W148" s="149"/>
      <c r="AG148" s="149"/>
    </row>
    <row r="149" spans="1:33">
      <c r="A149" s="89">
        <v>11</v>
      </c>
      <c r="B149" s="86" t="s">
        <v>132</v>
      </c>
      <c r="D149" s="86" t="s">
        <v>1485</v>
      </c>
      <c r="F149" s="86" t="s">
        <v>1486</v>
      </c>
      <c r="K149" s="94"/>
      <c r="L149" s="94"/>
      <c r="M149" s="94"/>
      <c r="W149" s="149"/>
      <c r="AG149" s="149"/>
    </row>
    <row r="150" spans="1:33">
      <c r="A150" s="89">
        <v>11</v>
      </c>
      <c r="B150" s="86" t="s">
        <v>218</v>
      </c>
      <c r="D150" s="86" t="s">
        <v>1485</v>
      </c>
      <c r="F150" s="86" t="s">
        <v>1486</v>
      </c>
      <c r="K150" s="94"/>
      <c r="L150" s="94"/>
      <c r="M150" s="94"/>
      <c r="W150" s="149"/>
      <c r="AG150" s="149"/>
    </row>
    <row r="151" spans="1:33">
      <c r="A151" s="89">
        <v>11</v>
      </c>
      <c r="B151" s="86" t="s">
        <v>134</v>
      </c>
      <c r="D151" s="86" t="s">
        <v>1485</v>
      </c>
      <c r="F151" s="86" t="s">
        <v>1486</v>
      </c>
      <c r="K151" s="94"/>
      <c r="L151" s="94"/>
      <c r="M151" s="94"/>
      <c r="W151" s="149"/>
      <c r="AG151" s="149"/>
    </row>
    <row r="152" spans="1:33">
      <c r="A152" s="89">
        <v>11</v>
      </c>
      <c r="B152" s="86" t="s">
        <v>135</v>
      </c>
      <c r="D152" s="86" t="s">
        <v>1485</v>
      </c>
      <c r="F152" s="86" t="s">
        <v>1486</v>
      </c>
      <c r="K152" s="94"/>
      <c r="L152" s="94"/>
      <c r="M152" s="94"/>
      <c r="W152" s="149"/>
      <c r="AG152" s="149"/>
    </row>
    <row r="153" spans="1:33">
      <c r="A153" s="89">
        <v>11</v>
      </c>
      <c r="B153" s="86" t="s">
        <v>136</v>
      </c>
      <c r="D153" s="86" t="s">
        <v>1485</v>
      </c>
      <c r="F153" s="86" t="s">
        <v>1486</v>
      </c>
      <c r="K153" s="94"/>
      <c r="L153" s="94"/>
      <c r="M153" s="94"/>
      <c r="W153" s="149"/>
      <c r="AG153" s="149"/>
    </row>
    <row r="154" spans="1:33">
      <c r="A154" s="89">
        <v>11</v>
      </c>
      <c r="B154" s="86" t="s">
        <v>137</v>
      </c>
      <c r="D154" s="86" t="s">
        <v>1485</v>
      </c>
      <c r="F154" s="86" t="s">
        <v>1486</v>
      </c>
      <c r="K154" s="94"/>
      <c r="L154" s="94"/>
      <c r="M154" s="94"/>
      <c r="W154" s="149"/>
      <c r="AG154" s="149"/>
    </row>
    <row r="155" spans="1:33">
      <c r="A155" s="89">
        <v>11</v>
      </c>
      <c r="B155" s="86" t="s">
        <v>138</v>
      </c>
      <c r="D155" s="86" t="s">
        <v>1485</v>
      </c>
      <c r="F155" s="86" t="s">
        <v>1486</v>
      </c>
      <c r="K155" s="94"/>
      <c r="L155" s="94"/>
      <c r="M155" s="94"/>
      <c r="W155" s="149"/>
      <c r="AG155" s="149"/>
    </row>
    <row r="156" spans="1:33">
      <c r="A156" s="89">
        <v>11</v>
      </c>
      <c r="B156" s="86" t="s">
        <v>139</v>
      </c>
      <c r="D156" s="86" t="s">
        <v>1485</v>
      </c>
      <c r="F156" s="86" t="s">
        <v>1486</v>
      </c>
      <c r="K156" s="94"/>
      <c r="L156" s="94"/>
      <c r="M156" s="94"/>
      <c r="W156" s="149"/>
      <c r="AG156" s="149"/>
    </row>
    <row r="157" spans="1:33">
      <c r="A157" s="89">
        <v>11</v>
      </c>
      <c r="B157" s="86" t="s">
        <v>140</v>
      </c>
      <c r="K157" s="94"/>
      <c r="L157" s="94"/>
      <c r="M157" s="94"/>
      <c r="W157" s="149"/>
      <c r="AG157" s="149"/>
    </row>
    <row r="158" spans="1:33">
      <c r="A158" s="89">
        <v>12</v>
      </c>
      <c r="B158" s="86" t="s">
        <v>190</v>
      </c>
      <c r="D158" s="86" t="s">
        <v>209</v>
      </c>
      <c r="F158" s="86" t="s">
        <v>1486</v>
      </c>
      <c r="K158" s="94"/>
      <c r="L158" s="94"/>
      <c r="M158" s="94"/>
      <c r="W158" s="149"/>
      <c r="AG158" s="149"/>
    </row>
    <row r="159" spans="1:33">
      <c r="A159" s="89">
        <v>12</v>
      </c>
      <c r="B159" s="86" t="s">
        <v>212</v>
      </c>
      <c r="D159" s="86" t="s">
        <v>209</v>
      </c>
      <c r="F159" s="86" t="s">
        <v>1486</v>
      </c>
      <c r="K159" s="94"/>
      <c r="L159" s="94"/>
      <c r="M159" s="94"/>
      <c r="W159" s="149"/>
      <c r="AG159" s="149"/>
    </row>
    <row r="160" spans="1:33">
      <c r="A160" s="89">
        <v>12</v>
      </c>
      <c r="B160" s="86" t="s">
        <v>141</v>
      </c>
      <c r="D160" s="86" t="s">
        <v>209</v>
      </c>
      <c r="F160" s="86" t="s">
        <v>1486</v>
      </c>
      <c r="K160" s="94"/>
      <c r="L160" s="94"/>
      <c r="M160" s="94"/>
      <c r="W160" s="149"/>
      <c r="AG160" s="149"/>
    </row>
    <row r="161" spans="1:33">
      <c r="A161" s="89">
        <v>12</v>
      </c>
      <c r="B161" s="86" t="s">
        <v>142</v>
      </c>
      <c r="D161" s="86" t="s">
        <v>209</v>
      </c>
      <c r="F161" s="86" t="s">
        <v>1486</v>
      </c>
      <c r="K161" s="94"/>
      <c r="L161" s="94"/>
      <c r="M161" s="94"/>
      <c r="W161" s="149"/>
      <c r="AG161" s="149"/>
    </row>
    <row r="162" spans="1:33">
      <c r="A162" s="89">
        <v>12</v>
      </c>
      <c r="B162" s="86" t="s">
        <v>191</v>
      </c>
      <c r="D162" s="86" t="s">
        <v>209</v>
      </c>
      <c r="F162" s="86" t="s">
        <v>1486</v>
      </c>
      <c r="K162" s="94"/>
      <c r="L162" s="94"/>
      <c r="M162" s="94"/>
      <c r="W162" s="149"/>
      <c r="AG162" s="149"/>
    </row>
    <row r="163" spans="1:33">
      <c r="A163" s="89">
        <v>12</v>
      </c>
      <c r="B163" s="86" t="s">
        <v>143</v>
      </c>
      <c r="D163" s="86" t="s">
        <v>209</v>
      </c>
      <c r="F163" s="86" t="s">
        <v>1486</v>
      </c>
      <c r="K163" s="94"/>
      <c r="L163" s="94"/>
      <c r="M163" s="94"/>
      <c r="W163" s="149"/>
      <c r="AG163" s="149"/>
    </row>
    <row r="164" spans="1:33">
      <c r="A164" s="89">
        <v>12</v>
      </c>
      <c r="B164" s="86" t="s">
        <v>144</v>
      </c>
      <c r="D164" s="86" t="s">
        <v>209</v>
      </c>
      <c r="F164" s="86" t="s">
        <v>1486</v>
      </c>
      <c r="K164" s="94"/>
      <c r="L164" s="94"/>
      <c r="M164" s="94"/>
      <c r="W164" s="149"/>
      <c r="AG164" s="149"/>
    </row>
    <row r="165" spans="1:33">
      <c r="A165" s="89">
        <v>12</v>
      </c>
      <c r="B165" s="86" t="s">
        <v>145</v>
      </c>
      <c r="D165" s="86" t="s">
        <v>209</v>
      </c>
      <c r="F165" s="86" t="s">
        <v>1486</v>
      </c>
      <c r="K165" s="94"/>
      <c r="L165" s="94"/>
      <c r="M165" s="94"/>
      <c r="W165" s="149"/>
      <c r="AG165" s="149"/>
    </row>
    <row r="166" spans="1:33">
      <c r="A166" s="89">
        <v>12</v>
      </c>
      <c r="B166" s="86" t="s">
        <v>146</v>
      </c>
      <c r="D166" s="86" t="s">
        <v>209</v>
      </c>
      <c r="F166" s="86" t="s">
        <v>1486</v>
      </c>
      <c r="K166" s="94"/>
      <c r="L166" s="94"/>
      <c r="M166" s="94"/>
      <c r="W166" s="149"/>
      <c r="AG166" s="149"/>
    </row>
    <row r="167" spans="1:33">
      <c r="A167" s="89">
        <v>12</v>
      </c>
      <c r="B167" s="86" t="s">
        <v>192</v>
      </c>
      <c r="D167" s="86" t="s">
        <v>209</v>
      </c>
      <c r="F167" s="86" t="s">
        <v>1486</v>
      </c>
      <c r="K167" s="94"/>
      <c r="L167" s="94"/>
      <c r="M167" s="94"/>
      <c r="W167" s="149"/>
      <c r="AG167" s="149"/>
    </row>
    <row r="168" spans="1:33">
      <c r="A168" s="89">
        <v>12</v>
      </c>
      <c r="B168" s="86" t="s">
        <v>1463</v>
      </c>
      <c r="D168" s="86" t="s">
        <v>209</v>
      </c>
      <c r="F168" s="86" t="s">
        <v>1486</v>
      </c>
      <c r="K168" s="94"/>
      <c r="L168" s="94"/>
      <c r="M168" s="94"/>
      <c r="W168" s="149"/>
      <c r="AG168" s="149"/>
    </row>
    <row r="169" spans="1:33">
      <c r="A169" s="89">
        <v>12</v>
      </c>
      <c r="B169" s="86" t="s">
        <v>147</v>
      </c>
      <c r="D169" s="86" t="s">
        <v>209</v>
      </c>
      <c r="F169" s="86" t="s">
        <v>1486</v>
      </c>
      <c r="K169" s="94"/>
      <c r="L169" s="94"/>
      <c r="M169" s="94"/>
      <c r="W169" s="149"/>
      <c r="AG169" s="149"/>
    </row>
    <row r="170" spans="1:33">
      <c r="A170" s="89">
        <v>12</v>
      </c>
      <c r="B170" s="86" t="s">
        <v>148</v>
      </c>
      <c r="D170" s="86" t="s">
        <v>209</v>
      </c>
      <c r="F170" s="86" t="s">
        <v>1486</v>
      </c>
      <c r="K170" s="94"/>
      <c r="L170" s="94"/>
      <c r="M170" s="94"/>
      <c r="W170" s="149"/>
      <c r="AG170" s="149"/>
    </row>
    <row r="171" spans="1:33">
      <c r="A171" s="89">
        <v>12</v>
      </c>
      <c r="B171" s="86" t="s">
        <v>149</v>
      </c>
      <c r="D171" s="86" t="s">
        <v>209</v>
      </c>
      <c r="F171" s="86" t="s">
        <v>1486</v>
      </c>
      <c r="K171" s="94"/>
      <c r="L171" s="94"/>
      <c r="M171" s="94"/>
      <c r="W171" s="149"/>
      <c r="AG171" s="149"/>
    </row>
    <row r="172" spans="1:33">
      <c r="A172" s="89">
        <v>12</v>
      </c>
      <c r="B172" s="86" t="s">
        <v>150</v>
      </c>
      <c r="D172" s="86" t="s">
        <v>209</v>
      </c>
      <c r="F172" s="86" t="s">
        <v>1486</v>
      </c>
      <c r="K172" s="94"/>
      <c r="L172" s="94"/>
      <c r="M172" s="94"/>
      <c r="W172" s="149"/>
      <c r="AG172" s="149"/>
    </row>
    <row r="173" spans="1:33">
      <c r="A173" s="89">
        <v>12</v>
      </c>
      <c r="B173" s="86" t="s">
        <v>151</v>
      </c>
      <c r="D173" s="86" t="s">
        <v>209</v>
      </c>
      <c r="F173" s="86" t="s">
        <v>1486</v>
      </c>
      <c r="K173" s="94"/>
      <c r="L173" s="94"/>
      <c r="M173" s="94"/>
      <c r="W173" s="149"/>
      <c r="AG173" s="149"/>
    </row>
    <row r="174" spans="1:33">
      <c r="A174" s="89">
        <v>12</v>
      </c>
      <c r="B174" s="86" t="s">
        <v>1464</v>
      </c>
      <c r="D174" s="86" t="s">
        <v>209</v>
      </c>
      <c r="F174" s="86" t="s">
        <v>1486</v>
      </c>
      <c r="K174" s="94"/>
      <c r="L174" s="94"/>
      <c r="M174" s="94"/>
      <c r="W174" s="149"/>
      <c r="AG174" s="149"/>
    </row>
    <row r="175" spans="1:33">
      <c r="A175" s="89">
        <v>12</v>
      </c>
      <c r="B175" s="86" t="s">
        <v>1465</v>
      </c>
      <c r="D175" s="86" t="s">
        <v>209</v>
      </c>
      <c r="F175" s="86" t="s">
        <v>1486</v>
      </c>
      <c r="K175" s="94"/>
      <c r="L175" s="94"/>
      <c r="M175" s="94"/>
      <c r="W175" s="149"/>
      <c r="AG175" s="149"/>
    </row>
    <row r="176" spans="1:33">
      <c r="A176" s="89">
        <v>12</v>
      </c>
      <c r="B176" s="86" t="s">
        <v>1466</v>
      </c>
      <c r="D176" s="86" t="s">
        <v>209</v>
      </c>
      <c r="F176" s="86" t="s">
        <v>1486</v>
      </c>
      <c r="K176" s="94"/>
      <c r="L176" s="94"/>
      <c r="M176" s="94"/>
      <c r="W176" s="149"/>
      <c r="AG176" s="149"/>
    </row>
    <row r="177" spans="1:33">
      <c r="A177" s="89">
        <v>12</v>
      </c>
      <c r="B177" s="86" t="s">
        <v>193</v>
      </c>
      <c r="D177" s="86" t="s">
        <v>209</v>
      </c>
      <c r="F177" s="86" t="s">
        <v>1486</v>
      </c>
      <c r="K177" s="94"/>
      <c r="L177" s="94"/>
      <c r="M177" s="94"/>
      <c r="W177" s="149"/>
      <c r="AG177" s="149"/>
    </row>
    <row r="178" spans="1:33">
      <c r="A178" s="89">
        <v>12</v>
      </c>
      <c r="B178" s="86" t="s">
        <v>1467</v>
      </c>
      <c r="D178" s="86" t="s">
        <v>209</v>
      </c>
      <c r="F178" s="86" t="s">
        <v>1486</v>
      </c>
      <c r="K178" s="94"/>
      <c r="L178" s="94"/>
      <c r="M178" s="94"/>
      <c r="W178" s="149"/>
      <c r="AG178" s="149"/>
    </row>
    <row r="179" spans="1:33">
      <c r="A179" s="89">
        <v>12</v>
      </c>
      <c r="B179" s="86" t="s">
        <v>194</v>
      </c>
      <c r="D179" s="86" t="s">
        <v>209</v>
      </c>
      <c r="F179" s="86" t="s">
        <v>1486</v>
      </c>
      <c r="K179" s="94"/>
      <c r="L179" s="94"/>
      <c r="M179" s="94"/>
      <c r="W179" s="149"/>
      <c r="AG179" s="149"/>
    </row>
    <row r="180" spans="1:33">
      <c r="A180" s="89">
        <v>12</v>
      </c>
      <c r="B180" s="86" t="s">
        <v>152</v>
      </c>
      <c r="D180" s="86" t="s">
        <v>209</v>
      </c>
      <c r="F180" s="86" t="s">
        <v>1486</v>
      </c>
      <c r="K180" s="94"/>
      <c r="L180" s="94"/>
      <c r="M180" s="94"/>
      <c r="W180" s="149"/>
      <c r="AG180" s="149"/>
    </row>
    <row r="181" spans="1:33">
      <c r="A181" s="89">
        <v>12</v>
      </c>
      <c r="B181" s="86" t="s">
        <v>1468</v>
      </c>
      <c r="D181" s="86" t="s">
        <v>209</v>
      </c>
      <c r="F181" s="86" t="s">
        <v>1486</v>
      </c>
      <c r="K181" s="94"/>
      <c r="L181" s="94"/>
      <c r="M181" s="94"/>
      <c r="W181" s="149"/>
      <c r="AG181" s="149"/>
    </row>
    <row r="182" spans="1:33">
      <c r="A182" s="89">
        <v>12</v>
      </c>
      <c r="B182" s="86" t="s">
        <v>153</v>
      </c>
      <c r="D182" s="86" t="s">
        <v>209</v>
      </c>
      <c r="F182" s="86" t="s">
        <v>1486</v>
      </c>
      <c r="K182" s="94"/>
      <c r="L182" s="94"/>
      <c r="M182" s="94"/>
      <c r="W182" s="149"/>
      <c r="AG182" s="149"/>
    </row>
    <row r="183" spans="1:33">
      <c r="A183" s="89">
        <v>12</v>
      </c>
      <c r="B183" s="86" t="s">
        <v>154</v>
      </c>
      <c r="D183" s="86" t="s">
        <v>209</v>
      </c>
      <c r="F183" s="86" t="s">
        <v>1486</v>
      </c>
      <c r="K183" s="94"/>
      <c r="L183" s="94"/>
      <c r="M183" s="94"/>
      <c r="W183" s="149"/>
      <c r="AG183" s="149"/>
    </row>
    <row r="184" spans="1:33">
      <c r="A184" s="89">
        <v>12</v>
      </c>
      <c r="B184" s="86" t="s">
        <v>195</v>
      </c>
      <c r="D184" s="86" t="s">
        <v>209</v>
      </c>
      <c r="F184" s="86" t="s">
        <v>1486</v>
      </c>
      <c r="K184" s="94"/>
      <c r="L184" s="94"/>
      <c r="M184" s="94"/>
      <c r="W184" s="149"/>
      <c r="AG184" s="149"/>
    </row>
    <row r="185" spans="1:33">
      <c r="A185" s="89">
        <v>12</v>
      </c>
      <c r="B185" s="86" t="s">
        <v>155</v>
      </c>
      <c r="D185" s="86" t="s">
        <v>209</v>
      </c>
      <c r="F185" s="86" t="s">
        <v>1486</v>
      </c>
      <c r="K185" s="94"/>
      <c r="L185" s="94"/>
      <c r="M185" s="94"/>
      <c r="W185" s="149"/>
      <c r="AG185" s="149"/>
    </row>
    <row r="186" spans="1:33">
      <c r="A186" s="89">
        <v>12</v>
      </c>
      <c r="B186" s="86" t="s">
        <v>196</v>
      </c>
      <c r="D186" s="86" t="s">
        <v>209</v>
      </c>
      <c r="F186" s="86" t="s">
        <v>1486</v>
      </c>
      <c r="K186" s="94"/>
      <c r="L186" s="94"/>
      <c r="M186" s="94"/>
      <c r="W186" s="149"/>
      <c r="AG186" s="149"/>
    </row>
    <row r="187" spans="1:33">
      <c r="A187" s="89">
        <v>12</v>
      </c>
      <c r="B187" s="86" t="s">
        <v>197</v>
      </c>
      <c r="D187" s="86" t="s">
        <v>209</v>
      </c>
      <c r="F187" s="86" t="s">
        <v>1486</v>
      </c>
      <c r="K187" s="94"/>
      <c r="L187" s="94"/>
      <c r="M187" s="94"/>
      <c r="W187" s="149"/>
      <c r="AG187" s="149"/>
    </row>
    <row r="188" spans="1:33">
      <c r="A188" s="89">
        <v>12</v>
      </c>
      <c r="B188" s="86" t="s">
        <v>198</v>
      </c>
      <c r="D188" s="86" t="s">
        <v>209</v>
      </c>
      <c r="F188" s="86" t="s">
        <v>1486</v>
      </c>
      <c r="K188" s="94"/>
      <c r="L188" s="94"/>
      <c r="M188" s="94"/>
      <c r="W188" s="149"/>
      <c r="AG188" s="149"/>
    </row>
    <row r="189" spans="1:33">
      <c r="A189" s="89">
        <v>12</v>
      </c>
      <c r="B189" s="86" t="s">
        <v>199</v>
      </c>
      <c r="D189" s="86" t="s">
        <v>209</v>
      </c>
      <c r="F189" s="86" t="s">
        <v>1486</v>
      </c>
      <c r="K189" s="94"/>
      <c r="L189" s="94"/>
      <c r="M189" s="94"/>
      <c r="W189" s="149"/>
      <c r="AG189" s="149"/>
    </row>
    <row r="190" spans="1:33">
      <c r="A190" s="89">
        <v>12</v>
      </c>
      <c r="B190" s="86" t="s">
        <v>200</v>
      </c>
      <c r="D190" s="86" t="s">
        <v>209</v>
      </c>
      <c r="F190" s="86" t="s">
        <v>1486</v>
      </c>
      <c r="K190" s="94"/>
      <c r="L190" s="94"/>
      <c r="M190" s="94"/>
      <c r="W190" s="149"/>
      <c r="AG190" s="149"/>
    </row>
    <row r="191" spans="1:33">
      <c r="A191" s="89">
        <v>12</v>
      </c>
      <c r="B191" s="86" t="s">
        <v>201</v>
      </c>
      <c r="D191" s="86" t="s">
        <v>209</v>
      </c>
      <c r="F191" s="86" t="s">
        <v>1486</v>
      </c>
      <c r="K191" s="94"/>
      <c r="L191" s="94"/>
      <c r="M191" s="94"/>
      <c r="W191" s="149"/>
      <c r="AG191" s="149"/>
    </row>
    <row r="192" spans="1:33">
      <c r="A192" s="89">
        <v>12</v>
      </c>
      <c r="B192" s="86" t="s">
        <v>202</v>
      </c>
      <c r="D192" s="86" t="s">
        <v>209</v>
      </c>
      <c r="F192" s="86" t="s">
        <v>1486</v>
      </c>
      <c r="K192" s="94"/>
      <c r="L192" s="94"/>
      <c r="M192" s="94"/>
      <c r="W192" s="149"/>
      <c r="AG192" s="149"/>
    </row>
    <row r="193" spans="1:33">
      <c r="A193" s="89">
        <v>12</v>
      </c>
      <c r="B193" s="86" t="s">
        <v>203</v>
      </c>
      <c r="D193" s="86" t="s">
        <v>209</v>
      </c>
      <c r="F193" s="86" t="s">
        <v>1486</v>
      </c>
      <c r="K193" s="94"/>
      <c r="L193" s="94"/>
      <c r="M193" s="94"/>
      <c r="W193" s="149"/>
      <c r="AG193" s="149"/>
    </row>
    <row r="194" spans="1:33">
      <c r="A194" s="89">
        <v>12</v>
      </c>
      <c r="B194" s="86" t="s">
        <v>204</v>
      </c>
      <c r="D194" s="86" t="s">
        <v>209</v>
      </c>
      <c r="F194" s="86" t="s">
        <v>1486</v>
      </c>
      <c r="K194" s="94"/>
      <c r="L194" s="94"/>
      <c r="M194" s="94"/>
      <c r="W194" s="149"/>
      <c r="AG194" s="149"/>
    </row>
    <row r="195" spans="1:33">
      <c r="A195" s="89">
        <v>12</v>
      </c>
      <c r="B195" s="86" t="s">
        <v>205</v>
      </c>
      <c r="D195" s="86" t="s">
        <v>209</v>
      </c>
      <c r="F195" s="86" t="s">
        <v>1486</v>
      </c>
      <c r="K195" s="94"/>
      <c r="L195" s="94"/>
      <c r="M195" s="94"/>
      <c r="W195" s="149"/>
      <c r="AG195" s="149"/>
    </row>
    <row r="196" spans="1:33">
      <c r="A196" s="89">
        <v>12</v>
      </c>
      <c r="B196" s="86" t="s">
        <v>206</v>
      </c>
      <c r="D196" s="86" t="s">
        <v>209</v>
      </c>
      <c r="F196" s="86" t="s">
        <v>1486</v>
      </c>
      <c r="K196" s="94"/>
      <c r="L196" s="94"/>
      <c r="M196" s="94"/>
      <c r="W196" s="149"/>
      <c r="AG196" s="149"/>
    </row>
    <row r="197" spans="1:33">
      <c r="A197" s="89">
        <v>12</v>
      </c>
      <c r="B197" s="86" t="s">
        <v>207</v>
      </c>
      <c r="D197" s="86" t="s">
        <v>209</v>
      </c>
      <c r="F197" s="86" t="s">
        <v>1486</v>
      </c>
      <c r="K197" s="94"/>
      <c r="L197" s="94"/>
      <c r="M197" s="94"/>
      <c r="W197" s="149"/>
      <c r="AG197" s="149"/>
    </row>
    <row r="198" spans="1:33">
      <c r="A198" s="89">
        <v>12</v>
      </c>
      <c r="B198" s="86" t="s">
        <v>208</v>
      </c>
      <c r="D198" s="86" t="s">
        <v>209</v>
      </c>
      <c r="F198" s="86" t="s">
        <v>1486</v>
      </c>
      <c r="K198" s="94"/>
      <c r="L198" s="94"/>
      <c r="M198" s="94"/>
      <c r="W198" s="149"/>
      <c r="AG198" s="149"/>
    </row>
    <row r="199" spans="1:33">
      <c r="A199" s="89">
        <v>12</v>
      </c>
      <c r="B199" s="86" t="s">
        <v>1469</v>
      </c>
      <c r="D199" s="86" t="s">
        <v>209</v>
      </c>
      <c r="F199" s="86" t="s">
        <v>1486</v>
      </c>
      <c r="K199" s="94"/>
      <c r="L199" s="94"/>
      <c r="M199" s="94"/>
      <c r="W199" s="149"/>
      <c r="AG199" s="149"/>
    </row>
    <row r="200" spans="1:33">
      <c r="A200" s="89">
        <v>12</v>
      </c>
      <c r="B200" s="86" t="s">
        <v>156</v>
      </c>
      <c r="D200" s="86" t="s">
        <v>209</v>
      </c>
      <c r="F200" s="86" t="s">
        <v>1486</v>
      </c>
      <c r="K200" s="94"/>
      <c r="L200" s="94"/>
      <c r="M200" s="94"/>
      <c r="W200" s="149"/>
      <c r="AG200" s="149"/>
    </row>
    <row r="201" spans="1:33">
      <c r="A201" s="89">
        <v>12</v>
      </c>
      <c r="B201" s="86" t="s">
        <v>157</v>
      </c>
      <c r="D201" s="86" t="s">
        <v>209</v>
      </c>
      <c r="F201" s="86" t="s">
        <v>1486</v>
      </c>
      <c r="K201" s="94"/>
      <c r="L201" s="94"/>
      <c r="M201" s="94"/>
      <c r="W201" s="149"/>
      <c r="AG201" s="149"/>
    </row>
    <row r="202" spans="1:33">
      <c r="A202" s="89">
        <v>12</v>
      </c>
      <c r="B202" s="86" t="s">
        <v>158</v>
      </c>
      <c r="D202" s="86" t="s">
        <v>209</v>
      </c>
      <c r="F202" s="86" t="s">
        <v>1486</v>
      </c>
      <c r="K202" s="94"/>
      <c r="L202" s="94"/>
      <c r="M202" s="94"/>
      <c r="AG202" s="149"/>
    </row>
    <row r="203" spans="1:33">
      <c r="A203" s="78">
        <v>13</v>
      </c>
      <c r="B203" s="86" t="s">
        <v>136</v>
      </c>
      <c r="D203" s="86" t="s">
        <v>185</v>
      </c>
      <c r="E203" s="86" t="s">
        <v>186</v>
      </c>
      <c r="F203" s="86" t="s">
        <v>187</v>
      </c>
      <c r="G203" s="86" t="s">
        <v>1470</v>
      </c>
      <c r="K203" s="94"/>
      <c r="L203" s="94"/>
      <c r="M203" s="94"/>
      <c r="W203" s="149"/>
      <c r="AG203" s="149"/>
    </row>
    <row r="204" spans="1:33">
      <c r="A204" s="78">
        <v>13</v>
      </c>
      <c r="B204" s="86" t="s">
        <v>138</v>
      </c>
      <c r="D204" s="86" t="s">
        <v>185</v>
      </c>
      <c r="E204" s="86" t="s">
        <v>186</v>
      </c>
      <c r="F204" s="86" t="s">
        <v>187</v>
      </c>
      <c r="G204" s="86" t="s">
        <v>1470</v>
      </c>
      <c r="K204" s="94"/>
      <c r="L204" s="94"/>
      <c r="M204" s="94"/>
      <c r="W204" s="149"/>
      <c r="AG204" s="149"/>
    </row>
    <row r="205" spans="1:33">
      <c r="A205" s="78">
        <v>13</v>
      </c>
      <c r="B205" s="86" t="s">
        <v>131</v>
      </c>
      <c r="D205" s="86" t="s">
        <v>185</v>
      </c>
      <c r="E205" s="86" t="s">
        <v>186</v>
      </c>
      <c r="F205" s="86" t="s">
        <v>187</v>
      </c>
      <c r="G205" s="86" t="s">
        <v>1470</v>
      </c>
      <c r="K205" s="94"/>
      <c r="L205" s="94"/>
      <c r="M205" s="94"/>
      <c r="W205" s="149"/>
      <c r="AG205" s="149"/>
    </row>
    <row r="206" spans="1:33">
      <c r="A206" s="78">
        <v>13</v>
      </c>
      <c r="B206" s="86" t="s">
        <v>134</v>
      </c>
      <c r="D206" s="86" t="s">
        <v>185</v>
      </c>
      <c r="E206" s="86" t="s">
        <v>186</v>
      </c>
      <c r="F206" s="86" t="s">
        <v>187</v>
      </c>
      <c r="G206" s="86" t="s">
        <v>1470</v>
      </c>
      <c r="K206" s="94"/>
      <c r="L206" s="94"/>
      <c r="M206" s="94"/>
      <c r="W206" s="149"/>
      <c r="AG206" s="149"/>
    </row>
    <row r="207" spans="1:33">
      <c r="A207" s="78">
        <v>13</v>
      </c>
      <c r="B207" s="86" t="s">
        <v>655</v>
      </c>
      <c r="D207" s="86" t="s">
        <v>185</v>
      </c>
      <c r="E207" s="86" t="s">
        <v>186</v>
      </c>
      <c r="F207" s="86" t="s">
        <v>187</v>
      </c>
      <c r="G207" s="86" t="s">
        <v>1470</v>
      </c>
      <c r="K207" s="94"/>
      <c r="L207" s="94"/>
      <c r="M207" s="94"/>
      <c r="W207" s="149"/>
      <c r="AG207" s="149"/>
    </row>
    <row r="208" spans="1:33">
      <c r="A208" s="78">
        <v>13</v>
      </c>
      <c r="B208" s="86" t="s">
        <v>143</v>
      </c>
      <c r="D208" s="86" t="s">
        <v>185</v>
      </c>
      <c r="E208" s="86" t="s">
        <v>186</v>
      </c>
      <c r="F208" s="86" t="s">
        <v>187</v>
      </c>
      <c r="G208" s="86" t="s">
        <v>1470</v>
      </c>
      <c r="K208" s="94"/>
      <c r="L208" s="94"/>
      <c r="M208" s="94"/>
      <c r="W208" s="149"/>
      <c r="AG208" s="149"/>
    </row>
    <row r="209" spans="1:33">
      <c r="A209" s="78">
        <v>13</v>
      </c>
      <c r="B209" s="86" t="s">
        <v>142</v>
      </c>
      <c r="D209" s="86" t="s">
        <v>185</v>
      </c>
      <c r="E209" s="86" t="s">
        <v>186</v>
      </c>
      <c r="F209" s="86" t="s">
        <v>187</v>
      </c>
      <c r="G209" s="86" t="s">
        <v>1470</v>
      </c>
      <c r="K209" s="94"/>
      <c r="L209" s="94"/>
      <c r="M209" s="94"/>
      <c r="W209" s="149"/>
      <c r="AG209" s="149"/>
    </row>
    <row r="210" spans="1:33">
      <c r="A210" s="78">
        <v>13</v>
      </c>
      <c r="B210" s="86" t="s">
        <v>144</v>
      </c>
      <c r="D210" s="86" t="s">
        <v>185</v>
      </c>
      <c r="E210" s="86" t="s">
        <v>186</v>
      </c>
      <c r="F210" s="86" t="s">
        <v>187</v>
      </c>
      <c r="G210" s="86" t="s">
        <v>1470</v>
      </c>
      <c r="K210" s="94"/>
      <c r="L210" s="94"/>
      <c r="M210" s="94"/>
      <c r="W210" s="149"/>
      <c r="AG210" s="149"/>
    </row>
    <row r="211" spans="1:33">
      <c r="A211" s="78">
        <v>13</v>
      </c>
      <c r="B211" s="86" t="s">
        <v>145</v>
      </c>
      <c r="D211" s="86" t="s">
        <v>185</v>
      </c>
      <c r="E211" s="86" t="s">
        <v>186</v>
      </c>
      <c r="F211" s="86" t="s">
        <v>187</v>
      </c>
      <c r="G211" s="86" t="s">
        <v>1470</v>
      </c>
      <c r="K211" s="94"/>
      <c r="L211" s="94"/>
      <c r="M211" s="94"/>
      <c r="W211" s="149"/>
      <c r="AG211" s="149"/>
    </row>
    <row r="212" spans="1:33">
      <c r="A212" s="78">
        <v>13</v>
      </c>
      <c r="B212" s="86" t="s">
        <v>148</v>
      </c>
      <c r="D212" s="86" t="s">
        <v>185</v>
      </c>
      <c r="E212" s="86" t="s">
        <v>186</v>
      </c>
      <c r="F212" s="86" t="s">
        <v>187</v>
      </c>
      <c r="G212" s="86" t="s">
        <v>1470</v>
      </c>
      <c r="K212" s="94"/>
      <c r="L212" s="94"/>
      <c r="M212" s="94"/>
      <c r="W212" s="149"/>
      <c r="AG212" s="149"/>
    </row>
    <row r="213" spans="1:33">
      <c r="A213" s="78">
        <v>13</v>
      </c>
      <c r="B213" s="86" t="s">
        <v>147</v>
      </c>
      <c r="D213" s="86" t="s">
        <v>185</v>
      </c>
      <c r="E213" s="86" t="s">
        <v>186</v>
      </c>
      <c r="F213" s="86" t="s">
        <v>187</v>
      </c>
      <c r="G213" s="86" t="s">
        <v>1470</v>
      </c>
      <c r="K213" s="94"/>
      <c r="L213" s="94"/>
      <c r="M213" s="94"/>
      <c r="W213" s="149"/>
      <c r="AG213" s="149"/>
    </row>
    <row r="214" spans="1:33">
      <c r="A214" s="78">
        <v>13</v>
      </c>
      <c r="B214" s="86" t="s">
        <v>150</v>
      </c>
      <c r="D214" s="86" t="s">
        <v>185</v>
      </c>
      <c r="E214" s="86" t="s">
        <v>186</v>
      </c>
      <c r="F214" s="86" t="s">
        <v>187</v>
      </c>
      <c r="G214" s="86" t="s">
        <v>1470</v>
      </c>
      <c r="K214" s="94"/>
      <c r="L214" s="94"/>
      <c r="M214" s="94"/>
      <c r="W214" s="149"/>
      <c r="AG214" s="149"/>
    </row>
    <row r="215" spans="1:33">
      <c r="A215" s="78">
        <v>13</v>
      </c>
      <c r="B215" s="86" t="s">
        <v>149</v>
      </c>
      <c r="D215" s="86" t="s">
        <v>185</v>
      </c>
      <c r="E215" s="86" t="s">
        <v>186</v>
      </c>
      <c r="F215" s="86" t="s">
        <v>187</v>
      </c>
      <c r="G215" s="86" t="s">
        <v>1470</v>
      </c>
      <c r="K215" s="94"/>
      <c r="L215" s="94"/>
      <c r="M215" s="94"/>
      <c r="W215" s="149"/>
      <c r="AG215" s="149"/>
    </row>
    <row r="216" spans="1:33">
      <c r="K216" s="94"/>
      <c r="L216" s="94"/>
      <c r="M216" s="94"/>
      <c r="AG216" s="149"/>
    </row>
    <row r="217" spans="1:33">
      <c r="K217" s="94"/>
      <c r="L217" s="94"/>
      <c r="M217" s="94"/>
      <c r="AG217" s="149"/>
    </row>
    <row r="218" spans="1:33">
      <c r="K218" s="94"/>
      <c r="L218" s="94"/>
      <c r="M218" s="94"/>
      <c r="AG218" s="149"/>
    </row>
    <row r="219" spans="1:33">
      <c r="K219" s="94"/>
      <c r="L219" s="94"/>
      <c r="M219" s="94"/>
      <c r="AG219" s="149"/>
    </row>
    <row r="220" spans="1:33">
      <c r="K220" s="94"/>
      <c r="L220" s="94"/>
      <c r="M220" s="94"/>
      <c r="AG220" s="149"/>
    </row>
    <row r="221" spans="1:33">
      <c r="K221" s="94"/>
      <c r="L221" s="94"/>
      <c r="M221" s="94"/>
      <c r="AG221" s="149"/>
    </row>
    <row r="222" spans="1:33">
      <c r="K222" s="94"/>
      <c r="L222" s="94"/>
      <c r="M222" s="94"/>
      <c r="AG222" s="149"/>
    </row>
    <row r="223" spans="1:33">
      <c r="K223" s="94"/>
      <c r="L223" s="94"/>
      <c r="M223" s="94"/>
      <c r="AG223" s="149"/>
    </row>
    <row r="224" spans="1:33">
      <c r="K224" s="94"/>
      <c r="L224" s="94"/>
      <c r="M224" s="94"/>
      <c r="AG224" s="149"/>
    </row>
    <row r="225" spans="11:33">
      <c r="K225" s="94"/>
      <c r="L225" s="94"/>
      <c r="M225" s="94"/>
      <c r="AG225" s="149"/>
    </row>
    <row r="226" spans="11:33">
      <c r="K226" s="94"/>
      <c r="L226" s="94"/>
      <c r="M226" s="94"/>
      <c r="AG226" s="149"/>
    </row>
    <row r="227" spans="11:33">
      <c r="K227" s="94"/>
      <c r="L227" s="94"/>
      <c r="M227" s="94"/>
      <c r="AG227" s="149"/>
    </row>
    <row r="228" spans="11:33">
      <c r="K228" s="94"/>
      <c r="L228" s="94"/>
      <c r="M228" s="94"/>
      <c r="AG228" s="149"/>
    </row>
    <row r="229" spans="11:33">
      <c r="K229" s="94"/>
      <c r="L229" s="94"/>
      <c r="M229" s="94"/>
      <c r="AG229" s="149"/>
    </row>
    <row r="230" spans="11:33">
      <c r="K230" s="94"/>
      <c r="L230" s="94"/>
      <c r="M230" s="94"/>
      <c r="AG230" s="149"/>
    </row>
    <row r="231" spans="11:33">
      <c r="K231" s="94"/>
      <c r="L231" s="94"/>
      <c r="M231" s="94"/>
      <c r="AG231" s="149"/>
    </row>
    <row r="232" spans="11:33">
      <c r="K232" s="94"/>
      <c r="L232" s="94"/>
      <c r="M232" s="94"/>
      <c r="AG232" s="149"/>
    </row>
    <row r="233" spans="11:33">
      <c r="K233" s="94"/>
      <c r="L233" s="94"/>
      <c r="M233" s="94"/>
      <c r="AG233" s="149"/>
    </row>
    <row r="234" spans="11:33">
      <c r="K234" s="94"/>
      <c r="L234" s="94"/>
      <c r="M234" s="94"/>
      <c r="AG234" s="149"/>
    </row>
    <row r="235" spans="11:33">
      <c r="K235" s="94"/>
      <c r="L235" s="94"/>
      <c r="M235" s="94"/>
      <c r="AG235" s="149"/>
    </row>
    <row r="236" spans="11:33">
      <c r="K236" s="94"/>
      <c r="L236" s="94"/>
      <c r="M236" s="94"/>
      <c r="AG236" s="149"/>
    </row>
    <row r="237" spans="11:33">
      <c r="K237" s="94"/>
      <c r="L237" s="94"/>
      <c r="M237" s="94"/>
      <c r="AG237" s="149"/>
    </row>
    <row r="238" spans="11:33">
      <c r="K238" s="94"/>
      <c r="L238" s="94"/>
      <c r="M238" s="94"/>
      <c r="AG238" s="149"/>
    </row>
    <row r="239" spans="11:33">
      <c r="K239" s="94"/>
      <c r="L239" s="94"/>
      <c r="M239" s="94"/>
      <c r="AG239" s="149"/>
    </row>
    <row r="240" spans="11:33">
      <c r="K240" s="94"/>
      <c r="L240" s="94"/>
      <c r="M240" s="94"/>
      <c r="AG240" s="149"/>
    </row>
    <row r="241" spans="11:33">
      <c r="K241" s="94"/>
      <c r="L241" s="94"/>
      <c r="M241" s="94"/>
      <c r="AG241" s="149"/>
    </row>
    <row r="242" spans="11:33">
      <c r="K242" s="94"/>
      <c r="L242" s="94"/>
      <c r="M242" s="94"/>
      <c r="AG242" s="149"/>
    </row>
    <row r="243" spans="11:33">
      <c r="K243" s="94"/>
      <c r="L243" s="94"/>
      <c r="M243" s="94"/>
      <c r="AG243" s="149"/>
    </row>
    <row r="244" spans="11:33">
      <c r="K244" s="94"/>
      <c r="L244" s="94"/>
      <c r="M244" s="94"/>
      <c r="AG244" s="149"/>
    </row>
    <row r="245" spans="11:33">
      <c r="K245" s="94"/>
      <c r="L245" s="94"/>
      <c r="M245" s="94"/>
      <c r="AG245" s="149"/>
    </row>
    <row r="246" spans="11:33">
      <c r="K246" s="94"/>
      <c r="L246" s="94"/>
      <c r="M246" s="94"/>
      <c r="AG246" s="149"/>
    </row>
    <row r="247" spans="11:33">
      <c r="K247" s="94"/>
      <c r="L247" s="94"/>
      <c r="M247" s="94"/>
      <c r="AG247" s="149"/>
    </row>
    <row r="248" spans="11:33">
      <c r="K248" s="94"/>
      <c r="L248" s="94"/>
      <c r="M248" s="94"/>
      <c r="AG248" s="149"/>
    </row>
    <row r="249" spans="11:33">
      <c r="K249" s="94"/>
      <c r="L249" s="94"/>
      <c r="M249" s="94"/>
      <c r="AG249" s="149"/>
    </row>
    <row r="250" spans="11:33">
      <c r="K250" s="94"/>
      <c r="L250" s="94"/>
      <c r="M250" s="94"/>
      <c r="AG250" s="149"/>
    </row>
    <row r="251" spans="11:33">
      <c r="K251" s="94"/>
      <c r="L251" s="94"/>
      <c r="M251" s="94"/>
      <c r="AG251" s="149"/>
    </row>
    <row r="252" spans="11:33">
      <c r="K252" s="94"/>
      <c r="L252" s="94"/>
      <c r="M252" s="94"/>
      <c r="AG252" s="149"/>
    </row>
    <row r="253" spans="11:33">
      <c r="K253" s="94"/>
      <c r="L253" s="94"/>
      <c r="M253" s="94"/>
      <c r="AG253" s="149"/>
    </row>
    <row r="254" spans="11:33">
      <c r="K254" s="94"/>
      <c r="L254" s="94"/>
      <c r="M254" s="94"/>
      <c r="AG254" s="149"/>
    </row>
    <row r="255" spans="11:33">
      <c r="K255" s="94"/>
      <c r="L255" s="94"/>
      <c r="M255" s="94"/>
      <c r="AG255" s="149"/>
    </row>
    <row r="256" spans="11:33">
      <c r="K256" s="94"/>
      <c r="L256" s="94"/>
      <c r="M256" s="94"/>
      <c r="AG256" s="149"/>
    </row>
    <row r="257" spans="11:33">
      <c r="K257" s="94"/>
      <c r="L257" s="94"/>
      <c r="M257" s="94"/>
      <c r="AG257" s="149"/>
    </row>
    <row r="258" spans="11:33">
      <c r="K258" s="94"/>
      <c r="L258" s="94"/>
      <c r="M258" s="94"/>
      <c r="AG258" s="149"/>
    </row>
    <row r="259" spans="11:33">
      <c r="K259" s="94"/>
      <c r="L259" s="94"/>
      <c r="M259" s="94"/>
      <c r="AG259" s="149"/>
    </row>
    <row r="260" spans="11:33">
      <c r="K260" s="94"/>
      <c r="L260" s="94"/>
      <c r="M260" s="94"/>
      <c r="AG260" s="149"/>
    </row>
    <row r="261" spans="11:33">
      <c r="K261" s="94"/>
      <c r="L261" s="94"/>
      <c r="M261" s="94"/>
      <c r="AG261" s="149"/>
    </row>
    <row r="262" spans="11:33">
      <c r="K262" s="94"/>
      <c r="L262" s="94"/>
      <c r="M262" s="94"/>
      <c r="AG262" s="149"/>
    </row>
    <row r="263" spans="11:33">
      <c r="K263" s="94"/>
      <c r="L263" s="94"/>
      <c r="M263" s="94"/>
      <c r="AG263" s="149"/>
    </row>
    <row r="264" spans="11:33">
      <c r="K264" s="94"/>
      <c r="L264" s="94"/>
      <c r="M264" s="94"/>
      <c r="AG264" s="149"/>
    </row>
    <row r="265" spans="11:33">
      <c r="K265" s="94"/>
      <c r="L265" s="94"/>
      <c r="M265" s="94"/>
      <c r="AG265" s="149"/>
    </row>
    <row r="266" spans="11:33">
      <c r="K266" s="94"/>
      <c r="L266" s="94"/>
      <c r="M266" s="94"/>
      <c r="AG266" s="149"/>
    </row>
    <row r="267" spans="11:33">
      <c r="K267" s="94"/>
      <c r="L267" s="94"/>
      <c r="M267" s="94"/>
      <c r="AG267" s="149"/>
    </row>
    <row r="268" spans="11:33">
      <c r="K268" s="94"/>
      <c r="L268" s="94"/>
      <c r="M268" s="94"/>
      <c r="AG268" s="149"/>
    </row>
    <row r="269" spans="11:33">
      <c r="K269" s="94"/>
      <c r="L269" s="94"/>
      <c r="M269" s="94"/>
      <c r="AG269" s="149"/>
    </row>
    <row r="270" spans="11:33">
      <c r="K270" s="94"/>
      <c r="L270" s="94"/>
      <c r="M270" s="94"/>
      <c r="AG270" s="149"/>
    </row>
    <row r="271" spans="11:33">
      <c r="K271" s="94"/>
      <c r="L271" s="94"/>
      <c r="M271" s="94"/>
      <c r="AG271" s="149"/>
    </row>
    <row r="272" spans="11:33">
      <c r="K272" s="94"/>
      <c r="L272" s="94"/>
      <c r="M272" s="94"/>
      <c r="AG272" s="149"/>
    </row>
    <row r="273" spans="11:33">
      <c r="K273" s="94"/>
      <c r="L273" s="94"/>
      <c r="M273" s="94"/>
      <c r="AG273" s="149"/>
    </row>
    <row r="274" spans="11:33">
      <c r="K274" s="94"/>
      <c r="L274" s="94"/>
      <c r="M274" s="94"/>
      <c r="AG274" s="149"/>
    </row>
    <row r="275" spans="11:33">
      <c r="K275" s="94"/>
      <c r="L275" s="94"/>
      <c r="M275" s="94"/>
      <c r="AG275" s="149"/>
    </row>
    <row r="276" spans="11:33">
      <c r="K276" s="94"/>
      <c r="L276" s="94"/>
      <c r="M276" s="94"/>
      <c r="AG276" s="149"/>
    </row>
    <row r="277" spans="11:33">
      <c r="K277" s="94"/>
      <c r="L277" s="94"/>
      <c r="M277" s="94"/>
      <c r="AG277" s="149"/>
    </row>
    <row r="278" spans="11:33">
      <c r="K278" s="94"/>
      <c r="L278" s="94"/>
      <c r="M278" s="94"/>
      <c r="AG278" s="149"/>
    </row>
    <row r="279" spans="11:33">
      <c r="K279" s="94"/>
      <c r="L279" s="94"/>
      <c r="M279" s="94"/>
      <c r="AG279" s="149"/>
    </row>
    <row r="280" spans="11:33">
      <c r="K280" s="94"/>
      <c r="L280" s="94"/>
      <c r="M280" s="94"/>
      <c r="AG280" s="149"/>
    </row>
    <row r="281" spans="11:33">
      <c r="K281" s="94"/>
      <c r="L281" s="94"/>
      <c r="M281" s="94"/>
      <c r="AG281" s="149"/>
    </row>
    <row r="282" spans="11:33">
      <c r="K282" s="94"/>
      <c r="L282" s="94"/>
      <c r="M282" s="94"/>
      <c r="AG282" s="149"/>
    </row>
    <row r="283" spans="11:33">
      <c r="K283" s="94"/>
      <c r="L283" s="94"/>
      <c r="M283" s="94"/>
      <c r="AG283" s="149"/>
    </row>
    <row r="284" spans="11:33">
      <c r="K284" s="94"/>
      <c r="L284" s="94"/>
      <c r="M284" s="94"/>
      <c r="AG284" s="149"/>
    </row>
    <row r="285" spans="11:33">
      <c r="K285" s="94"/>
      <c r="L285" s="94"/>
      <c r="M285" s="94"/>
      <c r="AG285" s="149"/>
    </row>
    <row r="286" spans="11:33">
      <c r="K286" s="94"/>
      <c r="L286" s="94"/>
      <c r="M286" s="94"/>
      <c r="AG286" s="149"/>
    </row>
    <row r="287" spans="11:33">
      <c r="K287" s="94"/>
      <c r="L287" s="94"/>
      <c r="M287" s="94"/>
      <c r="AG287" s="149"/>
    </row>
    <row r="288" spans="11:33">
      <c r="K288" s="94"/>
      <c r="L288" s="94"/>
      <c r="M288" s="94"/>
      <c r="AG288" s="149"/>
    </row>
    <row r="289" spans="11:33">
      <c r="K289" s="94"/>
      <c r="L289" s="94"/>
      <c r="M289" s="94"/>
      <c r="AG289" s="149"/>
    </row>
    <row r="290" spans="11:33">
      <c r="K290" s="94"/>
      <c r="L290" s="94"/>
      <c r="M290" s="94"/>
      <c r="AG290" s="149"/>
    </row>
    <row r="291" spans="11:33">
      <c r="K291" s="94"/>
      <c r="L291" s="94"/>
      <c r="M291" s="94"/>
      <c r="AG291" s="149"/>
    </row>
    <row r="292" spans="11:33">
      <c r="K292" s="94"/>
      <c r="L292" s="94"/>
      <c r="M292" s="94"/>
      <c r="AG292" s="149"/>
    </row>
    <row r="293" spans="11:33">
      <c r="K293" s="94"/>
      <c r="L293" s="94"/>
      <c r="M293" s="94"/>
      <c r="AG293" s="149"/>
    </row>
    <row r="294" spans="11:33">
      <c r="K294" s="94"/>
      <c r="L294" s="94"/>
      <c r="M294" s="94"/>
      <c r="AG294" s="149"/>
    </row>
    <row r="295" spans="11:33">
      <c r="K295" s="94"/>
      <c r="L295" s="94"/>
      <c r="M295" s="94"/>
      <c r="AG295" s="149"/>
    </row>
    <row r="296" spans="11:33">
      <c r="K296" s="94"/>
      <c r="L296" s="94"/>
      <c r="M296" s="94"/>
      <c r="AG296" s="149"/>
    </row>
    <row r="297" spans="11:33">
      <c r="K297" s="94"/>
      <c r="L297" s="94"/>
      <c r="M297" s="94"/>
      <c r="AG297" s="149"/>
    </row>
    <row r="298" spans="11:33">
      <c r="K298" s="94"/>
      <c r="L298" s="94"/>
      <c r="M298" s="94"/>
      <c r="AG298" s="149"/>
    </row>
    <row r="299" spans="11:33">
      <c r="K299" s="94"/>
      <c r="L299" s="94"/>
      <c r="M299" s="94"/>
      <c r="AG299" s="149"/>
    </row>
    <row r="300" spans="11:33">
      <c r="K300" s="94"/>
      <c r="L300" s="94"/>
      <c r="M300" s="94"/>
      <c r="AG300" s="149"/>
    </row>
    <row r="301" spans="11:33">
      <c r="K301" s="94"/>
      <c r="L301" s="94"/>
      <c r="M301" s="94"/>
      <c r="AG301" s="149"/>
    </row>
    <row r="302" spans="11:33">
      <c r="K302" s="94"/>
      <c r="L302" s="94"/>
      <c r="M302" s="94"/>
      <c r="AG302" s="149"/>
    </row>
    <row r="303" spans="11:33">
      <c r="K303" s="94"/>
      <c r="L303" s="94"/>
      <c r="M303" s="94"/>
      <c r="AG303" s="149"/>
    </row>
    <row r="304" spans="11:33">
      <c r="K304" s="94"/>
      <c r="L304" s="94"/>
      <c r="M304" s="94"/>
      <c r="AG304" s="149"/>
    </row>
    <row r="305" spans="11:33">
      <c r="K305" s="94"/>
      <c r="L305" s="94"/>
      <c r="M305" s="94"/>
      <c r="AG305" s="149"/>
    </row>
    <row r="306" spans="11:33">
      <c r="K306" s="94"/>
      <c r="L306" s="94"/>
      <c r="M306" s="94"/>
      <c r="AG306" s="149"/>
    </row>
    <row r="307" spans="11:33">
      <c r="K307" s="94"/>
      <c r="L307" s="94"/>
      <c r="M307" s="94"/>
      <c r="AG307" s="149"/>
    </row>
    <row r="308" spans="11:33">
      <c r="K308" s="94"/>
      <c r="L308" s="94"/>
      <c r="M308" s="94"/>
      <c r="AG308" s="149"/>
    </row>
    <row r="309" spans="11:33">
      <c r="K309" s="94"/>
      <c r="L309" s="94"/>
      <c r="M309" s="94"/>
      <c r="AG309" s="149"/>
    </row>
    <row r="310" spans="11:33">
      <c r="K310" s="94"/>
      <c r="L310" s="94"/>
      <c r="M310" s="94"/>
      <c r="AG310" s="149"/>
    </row>
    <row r="311" spans="11:33">
      <c r="K311" s="94"/>
      <c r="L311" s="94"/>
      <c r="M311" s="94"/>
      <c r="AG311" s="149"/>
    </row>
    <row r="312" spans="11:33">
      <c r="K312" s="94"/>
      <c r="L312" s="94"/>
      <c r="M312" s="94"/>
      <c r="AG312" s="149"/>
    </row>
    <row r="313" spans="11:33">
      <c r="K313" s="94"/>
      <c r="L313" s="94"/>
      <c r="M313" s="94"/>
      <c r="AG313" s="149"/>
    </row>
    <row r="314" spans="11:33">
      <c r="K314" s="94"/>
      <c r="L314" s="94"/>
      <c r="M314" s="94"/>
      <c r="AG314" s="149"/>
    </row>
    <row r="315" spans="11:33">
      <c r="K315" s="94"/>
      <c r="L315" s="94"/>
      <c r="M315" s="94"/>
      <c r="AG315" s="149"/>
    </row>
    <row r="316" spans="11:33">
      <c r="K316" s="94"/>
      <c r="L316" s="94"/>
      <c r="M316" s="94"/>
      <c r="AG316" s="149"/>
    </row>
    <row r="317" spans="11:33">
      <c r="K317" s="94"/>
      <c r="L317" s="94"/>
      <c r="M317" s="94"/>
      <c r="AG317" s="149"/>
    </row>
    <row r="318" spans="11:33">
      <c r="K318" s="94"/>
      <c r="L318" s="94"/>
      <c r="M318" s="94"/>
      <c r="AG318" s="149"/>
    </row>
    <row r="319" spans="11:33">
      <c r="K319" s="94"/>
      <c r="L319" s="94"/>
      <c r="M319" s="94"/>
      <c r="AG319" s="149"/>
    </row>
    <row r="320" spans="11:33">
      <c r="K320" s="94"/>
      <c r="L320" s="94"/>
      <c r="M320" s="94"/>
      <c r="AG320" s="149"/>
    </row>
    <row r="321" spans="11:33">
      <c r="K321" s="94"/>
      <c r="L321" s="94"/>
      <c r="M321" s="94"/>
      <c r="AG321" s="149"/>
    </row>
    <row r="322" spans="11:33">
      <c r="K322" s="94"/>
      <c r="L322" s="94"/>
      <c r="M322" s="94"/>
      <c r="AG322" s="149"/>
    </row>
    <row r="323" spans="11:33">
      <c r="K323" s="94"/>
      <c r="L323" s="94"/>
      <c r="M323" s="94"/>
      <c r="AG323" s="149"/>
    </row>
    <row r="324" spans="11:33">
      <c r="K324" s="94"/>
      <c r="L324" s="94"/>
      <c r="M324" s="94"/>
      <c r="AG324" s="149"/>
    </row>
    <row r="325" spans="11:33">
      <c r="K325" s="94"/>
      <c r="L325" s="94"/>
      <c r="M325" s="94"/>
      <c r="AG325" s="149"/>
    </row>
    <row r="326" spans="11:33">
      <c r="K326" s="94"/>
      <c r="L326" s="94"/>
      <c r="M326" s="94"/>
      <c r="AG326" s="149"/>
    </row>
    <row r="327" spans="11:33">
      <c r="K327" s="94"/>
      <c r="L327" s="94"/>
      <c r="M327" s="94"/>
      <c r="AG327" s="149"/>
    </row>
    <row r="328" spans="11:33">
      <c r="K328" s="94"/>
      <c r="L328" s="94"/>
      <c r="M328" s="94"/>
      <c r="AG328" s="149"/>
    </row>
    <row r="329" spans="11:33">
      <c r="K329" s="94"/>
      <c r="L329" s="94"/>
      <c r="M329" s="94"/>
      <c r="AG329" s="149"/>
    </row>
    <row r="330" spans="11:33">
      <c r="K330" s="94"/>
      <c r="L330" s="94"/>
      <c r="M330" s="94"/>
      <c r="AG330" s="149"/>
    </row>
    <row r="331" spans="11:33">
      <c r="K331" s="94"/>
      <c r="L331" s="94"/>
      <c r="M331" s="94"/>
      <c r="AG331" s="149"/>
    </row>
    <row r="332" spans="11:33">
      <c r="K332" s="94"/>
      <c r="L332" s="94"/>
      <c r="M332" s="94"/>
      <c r="AG332" s="149"/>
    </row>
    <row r="333" spans="11:33">
      <c r="K333" s="94"/>
      <c r="L333" s="94"/>
      <c r="M333" s="94"/>
      <c r="AG333" s="149"/>
    </row>
    <row r="334" spans="11:33">
      <c r="K334" s="94"/>
      <c r="L334" s="94"/>
      <c r="M334" s="94"/>
      <c r="AG334" s="149"/>
    </row>
    <row r="335" spans="11:33">
      <c r="K335" s="94"/>
      <c r="L335" s="94"/>
      <c r="M335" s="94"/>
      <c r="AG335" s="149"/>
    </row>
    <row r="336" spans="11:33">
      <c r="K336" s="94"/>
      <c r="L336" s="94"/>
      <c r="M336" s="94"/>
      <c r="AG336" s="149"/>
    </row>
    <row r="337" spans="11:33">
      <c r="K337" s="94"/>
      <c r="L337" s="94"/>
      <c r="M337" s="94"/>
      <c r="AG337" s="149"/>
    </row>
    <row r="338" spans="11:33">
      <c r="K338" s="94"/>
      <c r="L338" s="94"/>
      <c r="M338" s="94"/>
      <c r="AG338" s="149"/>
    </row>
    <row r="339" spans="11:33">
      <c r="K339" s="94"/>
      <c r="L339" s="94"/>
      <c r="M339" s="94"/>
      <c r="AG339" s="149"/>
    </row>
    <row r="340" spans="11:33">
      <c r="K340" s="94"/>
      <c r="L340" s="94"/>
      <c r="M340" s="94"/>
      <c r="AG340" s="149"/>
    </row>
    <row r="341" spans="11:33">
      <c r="K341" s="94"/>
      <c r="L341" s="94"/>
      <c r="M341" s="94"/>
      <c r="AG341" s="149"/>
    </row>
    <row r="342" spans="11:33">
      <c r="K342" s="94"/>
      <c r="L342" s="94"/>
      <c r="M342" s="94"/>
      <c r="AG342" s="149"/>
    </row>
    <row r="343" spans="11:33">
      <c r="K343" s="94"/>
      <c r="L343" s="94"/>
      <c r="M343" s="94"/>
      <c r="AG343" s="149"/>
    </row>
    <row r="344" spans="11:33">
      <c r="K344" s="94"/>
      <c r="L344" s="94"/>
      <c r="M344" s="94"/>
      <c r="AG344" s="149"/>
    </row>
    <row r="345" spans="11:33">
      <c r="K345" s="94"/>
      <c r="L345" s="94"/>
      <c r="M345" s="94"/>
      <c r="AG345" s="149"/>
    </row>
    <row r="346" spans="11:33">
      <c r="K346" s="94"/>
      <c r="L346" s="94"/>
      <c r="M346" s="94"/>
      <c r="AG346" s="149"/>
    </row>
    <row r="347" spans="11:33">
      <c r="K347" s="94"/>
      <c r="L347" s="94"/>
      <c r="M347" s="94"/>
      <c r="AG347" s="149"/>
    </row>
    <row r="348" spans="11:33">
      <c r="K348" s="94"/>
      <c r="L348" s="94"/>
      <c r="M348" s="94"/>
      <c r="AG348" s="149"/>
    </row>
    <row r="349" spans="11:33">
      <c r="K349" s="94"/>
      <c r="L349" s="94"/>
      <c r="M349" s="94"/>
      <c r="AG349" s="149"/>
    </row>
    <row r="350" spans="11:33">
      <c r="K350" s="94"/>
      <c r="L350" s="94"/>
      <c r="M350" s="94"/>
      <c r="AG350" s="149"/>
    </row>
    <row r="351" spans="11:33">
      <c r="K351" s="94"/>
      <c r="L351" s="94"/>
      <c r="M351" s="94"/>
      <c r="AG351" s="149"/>
    </row>
    <row r="352" spans="11:33">
      <c r="K352" s="94"/>
      <c r="L352" s="94"/>
      <c r="M352" s="94"/>
      <c r="AG352" s="149"/>
    </row>
    <row r="353" spans="11:33">
      <c r="K353" s="94"/>
      <c r="L353" s="94"/>
      <c r="M353" s="94"/>
      <c r="AG353" s="149"/>
    </row>
    <row r="354" spans="11:33">
      <c r="K354" s="94"/>
      <c r="L354" s="94"/>
      <c r="M354" s="94"/>
      <c r="AG354" s="149"/>
    </row>
    <row r="355" spans="11:33">
      <c r="K355" s="94"/>
      <c r="L355" s="94"/>
      <c r="M355" s="94"/>
      <c r="AG355" s="149"/>
    </row>
    <row r="356" spans="11:33">
      <c r="K356" s="94"/>
      <c r="L356" s="94"/>
      <c r="M356" s="94"/>
      <c r="AG356" s="149"/>
    </row>
    <row r="357" spans="11:33">
      <c r="K357" s="94"/>
      <c r="L357" s="94"/>
      <c r="M357" s="94"/>
      <c r="AG357" s="149"/>
    </row>
    <row r="358" spans="11:33">
      <c r="K358" s="94"/>
      <c r="L358" s="94"/>
      <c r="M358" s="94"/>
      <c r="AG358" s="149"/>
    </row>
    <row r="359" spans="11:33">
      <c r="K359" s="94"/>
      <c r="L359" s="94"/>
      <c r="M359" s="94"/>
      <c r="AG359" s="149"/>
    </row>
    <row r="360" spans="11:33">
      <c r="K360" s="94"/>
      <c r="L360" s="94"/>
      <c r="M360" s="94"/>
      <c r="AG360" s="149"/>
    </row>
    <row r="361" spans="11:33">
      <c r="K361" s="94"/>
      <c r="L361" s="94"/>
      <c r="M361" s="94"/>
      <c r="AG361" s="149"/>
    </row>
    <row r="362" spans="11:33">
      <c r="K362" s="94"/>
      <c r="L362" s="94"/>
      <c r="M362" s="94"/>
      <c r="AG362" s="149"/>
    </row>
    <row r="363" spans="11:33">
      <c r="K363" s="94"/>
      <c r="L363" s="94"/>
      <c r="M363" s="94"/>
      <c r="AG363" s="149"/>
    </row>
    <row r="364" spans="11:33">
      <c r="K364" s="94"/>
      <c r="L364" s="94"/>
      <c r="M364" s="94"/>
      <c r="AG364" s="149"/>
    </row>
    <row r="365" spans="11:33">
      <c r="K365" s="94"/>
      <c r="L365" s="94"/>
      <c r="M365" s="94"/>
      <c r="AG365" s="149"/>
    </row>
    <row r="366" spans="11:33">
      <c r="K366" s="94"/>
      <c r="L366" s="94"/>
      <c r="M366" s="94"/>
      <c r="AG366" s="149"/>
    </row>
    <row r="367" spans="11:33">
      <c r="K367" s="94"/>
      <c r="L367" s="94"/>
      <c r="M367" s="94"/>
      <c r="AG367" s="149"/>
    </row>
    <row r="368" spans="11:33">
      <c r="K368" s="94"/>
      <c r="L368" s="94"/>
      <c r="M368" s="94"/>
      <c r="AG368" s="149"/>
    </row>
    <row r="369" spans="11:33">
      <c r="K369" s="94"/>
      <c r="L369" s="94"/>
      <c r="M369" s="94"/>
      <c r="AG369" s="149"/>
    </row>
    <row r="370" spans="11:33">
      <c r="K370" s="94"/>
      <c r="L370" s="94"/>
      <c r="M370" s="94"/>
      <c r="AG370" s="149"/>
    </row>
    <row r="371" spans="11:33">
      <c r="K371" s="94"/>
      <c r="L371" s="94"/>
      <c r="M371" s="94"/>
      <c r="AG371" s="149"/>
    </row>
    <row r="372" spans="11:33">
      <c r="K372" s="94"/>
      <c r="L372" s="94"/>
      <c r="M372" s="94"/>
      <c r="AG372" s="149"/>
    </row>
    <row r="373" spans="11:33">
      <c r="K373" s="94"/>
      <c r="L373" s="94"/>
      <c r="M373" s="94"/>
      <c r="AG373" s="149"/>
    </row>
    <row r="374" spans="11:33">
      <c r="K374" s="94"/>
      <c r="L374" s="94"/>
      <c r="M374" s="94"/>
      <c r="AG374" s="149"/>
    </row>
    <row r="375" spans="11:33">
      <c r="K375" s="94"/>
      <c r="L375" s="94"/>
      <c r="M375" s="94"/>
      <c r="AG375" s="149"/>
    </row>
    <row r="376" spans="11:33">
      <c r="K376" s="94"/>
      <c r="L376" s="94"/>
      <c r="M376" s="94"/>
      <c r="AG376" s="149"/>
    </row>
    <row r="377" spans="11:33">
      <c r="K377" s="94"/>
      <c r="L377" s="94"/>
      <c r="M377" s="94"/>
      <c r="AG377" s="149"/>
    </row>
    <row r="378" spans="11:33">
      <c r="K378" s="94"/>
      <c r="L378" s="94"/>
      <c r="M378" s="94"/>
      <c r="AG378" s="149"/>
    </row>
    <row r="379" spans="11:33">
      <c r="K379" s="94"/>
      <c r="L379" s="94"/>
      <c r="M379" s="94"/>
      <c r="AG379" s="149"/>
    </row>
    <row r="380" spans="11:33">
      <c r="K380" s="94"/>
      <c r="L380" s="94"/>
      <c r="M380" s="94"/>
      <c r="AG380" s="149"/>
    </row>
    <row r="381" spans="11:33">
      <c r="K381" s="94"/>
      <c r="L381" s="94"/>
      <c r="M381" s="94"/>
      <c r="AG381" s="149"/>
    </row>
    <row r="382" spans="11:33">
      <c r="K382" s="94"/>
      <c r="L382" s="94"/>
      <c r="M382" s="94"/>
      <c r="AG382" s="149"/>
    </row>
    <row r="383" spans="11:33">
      <c r="K383" s="94"/>
      <c r="L383" s="94"/>
      <c r="M383" s="94"/>
      <c r="AG383" s="149"/>
    </row>
    <row r="384" spans="11:33">
      <c r="K384" s="94"/>
      <c r="L384" s="94"/>
      <c r="M384" s="94"/>
      <c r="AG384" s="149"/>
    </row>
    <row r="385" spans="11:33">
      <c r="K385" s="94"/>
      <c r="L385" s="94"/>
      <c r="M385" s="94"/>
      <c r="AG385" s="149"/>
    </row>
    <row r="386" spans="11:33">
      <c r="K386" s="94"/>
      <c r="L386" s="94"/>
      <c r="M386" s="94"/>
      <c r="AG386" s="149"/>
    </row>
    <row r="387" spans="11:33">
      <c r="K387" s="94"/>
      <c r="L387" s="94"/>
      <c r="M387" s="94"/>
      <c r="AG387" s="149"/>
    </row>
    <row r="388" spans="11:33">
      <c r="K388" s="94"/>
      <c r="L388" s="94"/>
      <c r="M388" s="94"/>
      <c r="AG388" s="149"/>
    </row>
    <row r="389" spans="11:33">
      <c r="K389" s="94"/>
      <c r="L389" s="94"/>
      <c r="M389" s="94"/>
      <c r="AG389" s="149"/>
    </row>
    <row r="390" spans="11:33">
      <c r="K390" s="94"/>
      <c r="L390" s="94"/>
      <c r="M390" s="94"/>
      <c r="AG390" s="149"/>
    </row>
    <row r="391" spans="11:33">
      <c r="K391" s="94"/>
      <c r="L391" s="94"/>
      <c r="M391" s="94"/>
      <c r="AG391" s="149"/>
    </row>
    <row r="392" spans="11:33">
      <c r="K392" s="94"/>
      <c r="L392" s="94"/>
      <c r="M392" s="94"/>
      <c r="AG392" s="149"/>
    </row>
    <row r="393" spans="11:33">
      <c r="K393" s="94"/>
      <c r="L393" s="94"/>
      <c r="M393" s="94"/>
      <c r="AG393" s="149"/>
    </row>
    <row r="394" spans="11:33">
      <c r="K394" s="94"/>
      <c r="L394" s="94"/>
      <c r="M394" s="94"/>
      <c r="AG394" s="149"/>
    </row>
    <row r="395" spans="11:33">
      <c r="K395" s="94"/>
      <c r="L395" s="94"/>
      <c r="M395" s="94"/>
      <c r="AG395" s="149"/>
    </row>
    <row r="396" spans="11:33">
      <c r="K396" s="94"/>
      <c r="L396" s="94"/>
      <c r="M396" s="94"/>
      <c r="AG396" s="149"/>
    </row>
    <row r="397" spans="11:33">
      <c r="K397" s="94"/>
      <c r="L397" s="94"/>
      <c r="M397" s="94"/>
      <c r="AG397" s="149"/>
    </row>
    <row r="398" spans="11:33">
      <c r="K398" s="94"/>
      <c r="L398" s="94"/>
      <c r="M398" s="94"/>
      <c r="AG398" s="149"/>
    </row>
    <row r="399" spans="11:33">
      <c r="K399" s="94"/>
      <c r="L399" s="94"/>
      <c r="M399" s="94"/>
      <c r="AG399" s="149"/>
    </row>
    <row r="400" spans="11:33">
      <c r="K400" s="94"/>
      <c r="L400" s="94"/>
      <c r="M400" s="94"/>
      <c r="AG400" s="149"/>
    </row>
    <row r="401" spans="11:33">
      <c r="K401" s="94"/>
      <c r="L401" s="94"/>
      <c r="M401" s="94"/>
      <c r="AG401" s="149"/>
    </row>
    <row r="402" spans="11:33">
      <c r="K402" s="94"/>
      <c r="L402" s="94"/>
      <c r="M402" s="94"/>
      <c r="AG402" s="149"/>
    </row>
    <row r="403" spans="11:33">
      <c r="K403" s="94"/>
      <c r="L403" s="94"/>
      <c r="M403" s="94"/>
      <c r="AG403" s="149"/>
    </row>
    <row r="404" spans="11:33">
      <c r="K404" s="94"/>
      <c r="L404" s="94"/>
      <c r="M404" s="94"/>
      <c r="AG404" s="149"/>
    </row>
    <row r="405" spans="11:33">
      <c r="K405" s="94"/>
      <c r="L405" s="94"/>
      <c r="M405" s="94"/>
      <c r="AG405" s="149"/>
    </row>
    <row r="406" spans="11:33">
      <c r="K406" s="94"/>
      <c r="L406" s="94"/>
      <c r="M406" s="94"/>
      <c r="AG406" s="149"/>
    </row>
    <row r="407" spans="11:33">
      <c r="K407" s="94"/>
      <c r="L407" s="94"/>
      <c r="M407" s="94"/>
      <c r="AG407" s="149"/>
    </row>
    <row r="408" spans="11:33">
      <c r="K408" s="94"/>
      <c r="L408" s="94"/>
      <c r="M408" s="94"/>
      <c r="AG408" s="149"/>
    </row>
    <row r="409" spans="11:33">
      <c r="K409" s="94"/>
      <c r="L409" s="94"/>
      <c r="M409" s="94"/>
      <c r="AG409" s="149"/>
    </row>
    <row r="410" spans="11:33">
      <c r="K410" s="94"/>
      <c r="L410" s="94"/>
      <c r="M410" s="94"/>
      <c r="AG410" s="149"/>
    </row>
    <row r="411" spans="11:33">
      <c r="K411" s="94"/>
      <c r="L411" s="94"/>
      <c r="M411" s="94"/>
      <c r="AG411" s="149"/>
    </row>
    <row r="412" spans="11:33">
      <c r="K412" s="94"/>
      <c r="L412" s="94"/>
      <c r="M412" s="94"/>
      <c r="AG412" s="149"/>
    </row>
    <row r="413" spans="11:33">
      <c r="K413" s="94"/>
      <c r="L413" s="94"/>
      <c r="M413" s="94"/>
      <c r="AG413" s="149"/>
    </row>
    <row r="414" spans="11:33">
      <c r="K414" s="94"/>
      <c r="L414" s="94"/>
      <c r="M414" s="94"/>
      <c r="AG414" s="149"/>
    </row>
    <row r="415" spans="11:33">
      <c r="K415" s="94"/>
      <c r="L415" s="94"/>
      <c r="M415" s="94"/>
      <c r="AG415" s="149"/>
    </row>
    <row r="416" spans="11:33">
      <c r="K416" s="94"/>
      <c r="L416" s="94"/>
      <c r="M416" s="94"/>
      <c r="AG416" s="149"/>
    </row>
    <row r="417" spans="11:33">
      <c r="K417" s="94"/>
      <c r="L417" s="94"/>
      <c r="M417" s="94"/>
      <c r="AG417" s="149"/>
    </row>
    <row r="418" spans="11:33">
      <c r="K418" s="94"/>
      <c r="L418" s="94"/>
      <c r="M418" s="94"/>
      <c r="AG418" s="149"/>
    </row>
    <row r="419" spans="11:33">
      <c r="K419" s="94"/>
      <c r="L419" s="94"/>
      <c r="M419" s="94"/>
      <c r="AG419" s="149"/>
    </row>
    <row r="420" spans="11:33">
      <c r="K420" s="94"/>
      <c r="L420" s="94"/>
      <c r="M420" s="94"/>
      <c r="AG420" s="149"/>
    </row>
    <row r="421" spans="11:33">
      <c r="K421" s="94"/>
      <c r="L421" s="94"/>
      <c r="M421" s="94"/>
      <c r="AG421" s="149"/>
    </row>
    <row r="422" spans="11:33">
      <c r="K422" s="94"/>
      <c r="L422" s="94"/>
      <c r="M422" s="94"/>
      <c r="AG422" s="149"/>
    </row>
    <row r="423" spans="11:33">
      <c r="K423" s="94"/>
      <c r="L423" s="94"/>
      <c r="M423" s="94"/>
      <c r="AG423" s="149"/>
    </row>
    <row r="424" spans="11:33">
      <c r="K424" s="94"/>
      <c r="L424" s="94"/>
      <c r="M424" s="94"/>
      <c r="AG424" s="149"/>
    </row>
    <row r="425" spans="11:33">
      <c r="K425" s="94"/>
      <c r="L425" s="94"/>
      <c r="M425" s="94"/>
      <c r="AG425" s="149"/>
    </row>
    <row r="426" spans="11:33">
      <c r="K426" s="94"/>
      <c r="L426" s="94"/>
      <c r="M426" s="94"/>
      <c r="AG426" s="149"/>
    </row>
    <row r="427" spans="11:33">
      <c r="K427" s="94"/>
      <c r="L427" s="94"/>
      <c r="M427" s="94"/>
      <c r="AG427" s="149"/>
    </row>
    <row r="428" spans="11:33">
      <c r="K428" s="94"/>
      <c r="L428" s="94"/>
      <c r="M428" s="94"/>
      <c r="AG428" s="149"/>
    </row>
    <row r="429" spans="11:33">
      <c r="K429" s="94"/>
      <c r="L429" s="94"/>
      <c r="M429" s="94"/>
      <c r="AG429" s="149"/>
    </row>
    <row r="430" spans="11:33">
      <c r="K430" s="94"/>
      <c r="L430" s="94"/>
      <c r="M430" s="94"/>
      <c r="AG430" s="149"/>
    </row>
    <row r="431" spans="11:33">
      <c r="K431" s="94"/>
      <c r="L431" s="94"/>
      <c r="M431" s="94"/>
      <c r="AG431" s="149"/>
    </row>
    <row r="432" spans="11:33">
      <c r="K432" s="94"/>
      <c r="L432" s="94"/>
      <c r="M432" s="94"/>
      <c r="AG432" s="149"/>
    </row>
    <row r="433" spans="11:33">
      <c r="K433" s="94"/>
      <c r="L433" s="94"/>
      <c r="M433" s="94"/>
      <c r="AG433" s="149"/>
    </row>
    <row r="434" spans="11:33">
      <c r="K434" s="94"/>
      <c r="L434" s="94"/>
      <c r="M434" s="94"/>
      <c r="AG434" s="149"/>
    </row>
    <row r="435" spans="11:33">
      <c r="K435" s="94"/>
      <c r="L435" s="94"/>
      <c r="M435" s="94"/>
      <c r="AG435" s="149"/>
    </row>
    <row r="436" spans="11:33">
      <c r="K436" s="94"/>
      <c r="L436" s="94"/>
      <c r="M436" s="94"/>
      <c r="AG436" s="149"/>
    </row>
    <row r="437" spans="11:33">
      <c r="K437" s="94"/>
      <c r="L437" s="94"/>
      <c r="M437" s="94"/>
      <c r="AG437" s="149"/>
    </row>
    <row r="438" spans="11:33">
      <c r="K438" s="94"/>
      <c r="L438" s="94"/>
      <c r="M438" s="94"/>
      <c r="AG438" s="149"/>
    </row>
    <row r="439" spans="11:33">
      <c r="K439" s="94"/>
      <c r="L439" s="94"/>
      <c r="M439" s="94"/>
      <c r="AG439" s="149"/>
    </row>
    <row r="440" spans="11:33">
      <c r="K440" s="94"/>
      <c r="L440" s="94"/>
      <c r="M440" s="94"/>
      <c r="AG440" s="149"/>
    </row>
    <row r="441" spans="11:33">
      <c r="K441" s="94"/>
      <c r="L441" s="94"/>
      <c r="M441" s="94"/>
      <c r="AG441" s="149"/>
    </row>
    <row r="442" spans="11:33">
      <c r="K442" s="94"/>
      <c r="L442" s="94"/>
      <c r="M442" s="94"/>
      <c r="AG442" s="149"/>
    </row>
    <row r="443" spans="11:33">
      <c r="K443" s="94"/>
      <c r="L443" s="94"/>
      <c r="M443" s="94"/>
      <c r="AG443" s="149"/>
    </row>
    <row r="444" spans="11:33">
      <c r="K444" s="94"/>
      <c r="L444" s="94"/>
      <c r="M444" s="94"/>
      <c r="AG444" s="149"/>
    </row>
    <row r="445" spans="11:33">
      <c r="K445" s="94"/>
      <c r="L445" s="94"/>
      <c r="M445" s="94"/>
      <c r="AG445" s="149"/>
    </row>
    <row r="446" spans="11:33">
      <c r="K446" s="94"/>
      <c r="L446" s="94"/>
      <c r="M446" s="94"/>
      <c r="AG446" s="149"/>
    </row>
    <row r="447" spans="11:33">
      <c r="K447" s="94"/>
      <c r="L447" s="94"/>
      <c r="M447" s="94"/>
      <c r="AG447" s="149"/>
    </row>
    <row r="448" spans="11:33">
      <c r="K448" s="94"/>
      <c r="L448" s="94"/>
      <c r="M448" s="94"/>
      <c r="AG448" s="149"/>
    </row>
    <row r="449" spans="11:33">
      <c r="K449" s="94"/>
      <c r="L449" s="94"/>
      <c r="M449" s="94"/>
      <c r="AG449" s="149"/>
    </row>
    <row r="450" spans="11:33">
      <c r="K450" s="94"/>
      <c r="L450" s="94"/>
      <c r="M450" s="94"/>
      <c r="AG450" s="149"/>
    </row>
    <row r="451" spans="11:33">
      <c r="K451" s="94"/>
      <c r="L451" s="94"/>
      <c r="M451" s="94"/>
      <c r="AG451" s="149"/>
    </row>
    <row r="452" spans="11:33">
      <c r="K452" s="94"/>
      <c r="L452" s="94"/>
      <c r="M452" s="94"/>
      <c r="AG452" s="149"/>
    </row>
    <row r="453" spans="11:33">
      <c r="K453" s="94"/>
      <c r="L453" s="94"/>
      <c r="M453" s="94"/>
      <c r="AG453" s="149"/>
    </row>
    <row r="454" spans="11:33">
      <c r="K454" s="94"/>
      <c r="L454" s="94"/>
      <c r="M454" s="94"/>
      <c r="AG454" s="149"/>
    </row>
    <row r="455" spans="11:33">
      <c r="K455" s="94"/>
      <c r="L455" s="94"/>
      <c r="M455" s="94"/>
      <c r="AG455" s="149"/>
    </row>
    <row r="456" spans="11:33">
      <c r="K456" s="94"/>
      <c r="L456" s="94"/>
      <c r="M456" s="94"/>
      <c r="AG456" s="149"/>
    </row>
    <row r="457" spans="11:33">
      <c r="K457" s="94"/>
      <c r="L457" s="94"/>
      <c r="M457" s="94"/>
      <c r="AG457" s="149"/>
    </row>
    <row r="458" spans="11:33">
      <c r="K458" s="94"/>
      <c r="L458" s="94"/>
      <c r="M458" s="94"/>
      <c r="AG458" s="149"/>
    </row>
    <row r="459" spans="11:33">
      <c r="K459" s="94"/>
      <c r="L459" s="94"/>
      <c r="M459" s="94"/>
      <c r="AG459" s="149"/>
    </row>
    <row r="460" spans="11:33">
      <c r="K460" s="94"/>
      <c r="L460" s="94"/>
      <c r="M460" s="94"/>
      <c r="AG460" s="149"/>
    </row>
    <row r="461" spans="11:33">
      <c r="K461" s="94"/>
      <c r="L461" s="94"/>
      <c r="M461" s="94"/>
      <c r="AG461" s="149"/>
    </row>
    <row r="462" spans="11:33">
      <c r="K462" s="94"/>
      <c r="L462" s="94"/>
      <c r="M462" s="94"/>
      <c r="AG462" s="149"/>
    </row>
    <row r="463" spans="11:33">
      <c r="K463" s="94"/>
      <c r="L463" s="94"/>
      <c r="M463" s="94"/>
      <c r="AG463" s="149"/>
    </row>
    <row r="464" spans="11:33">
      <c r="K464" s="94"/>
      <c r="L464" s="94"/>
      <c r="M464" s="94"/>
      <c r="AG464" s="149"/>
    </row>
    <row r="465" spans="11:33">
      <c r="K465" s="94"/>
      <c r="L465" s="94"/>
      <c r="M465" s="94"/>
      <c r="AG465" s="149"/>
    </row>
    <row r="466" spans="11:33">
      <c r="K466" s="94"/>
      <c r="L466" s="94"/>
      <c r="M466" s="94"/>
      <c r="AG466" s="149"/>
    </row>
    <row r="467" spans="11:33">
      <c r="K467" s="94"/>
      <c r="L467" s="94"/>
      <c r="M467" s="94"/>
      <c r="AG467" s="149"/>
    </row>
    <row r="468" spans="11:33">
      <c r="K468" s="94"/>
      <c r="L468" s="94"/>
      <c r="M468" s="94"/>
      <c r="AG468" s="149"/>
    </row>
    <row r="469" spans="11:33">
      <c r="K469" s="94"/>
      <c r="L469" s="94"/>
      <c r="M469" s="94"/>
      <c r="AG469" s="149"/>
    </row>
    <row r="470" spans="11:33">
      <c r="K470" s="94"/>
      <c r="L470" s="94"/>
      <c r="M470" s="94"/>
      <c r="AG470" s="149"/>
    </row>
    <row r="471" spans="11:33">
      <c r="K471" s="94"/>
      <c r="L471" s="94"/>
      <c r="M471" s="94"/>
      <c r="AG471" s="149"/>
    </row>
    <row r="472" spans="11:33">
      <c r="K472" s="94"/>
      <c r="L472" s="94"/>
      <c r="M472" s="94"/>
      <c r="AG472" s="149"/>
    </row>
    <row r="473" spans="11:33">
      <c r="K473" s="94"/>
      <c r="L473" s="94"/>
      <c r="M473" s="94"/>
      <c r="AG473" s="149"/>
    </row>
    <row r="474" spans="11:33">
      <c r="K474" s="94"/>
      <c r="L474" s="94"/>
      <c r="M474" s="94"/>
      <c r="AG474" s="149"/>
    </row>
    <row r="475" spans="11:33">
      <c r="K475" s="94"/>
      <c r="L475" s="94"/>
      <c r="M475" s="94"/>
      <c r="AG475" s="149"/>
    </row>
    <row r="476" spans="11:33">
      <c r="K476" s="94"/>
      <c r="L476" s="94"/>
      <c r="M476" s="94"/>
      <c r="AG476" s="149"/>
    </row>
    <row r="477" spans="11:33">
      <c r="K477" s="94"/>
      <c r="L477" s="94"/>
      <c r="M477" s="94"/>
      <c r="AG477" s="149"/>
    </row>
    <row r="478" spans="11:33">
      <c r="K478" s="94"/>
      <c r="L478" s="94"/>
      <c r="M478" s="94"/>
      <c r="AG478" s="149"/>
    </row>
    <row r="479" spans="11:33">
      <c r="K479" s="94"/>
      <c r="L479" s="94"/>
      <c r="M479" s="94"/>
      <c r="AG479" s="149"/>
    </row>
    <row r="480" spans="11:33">
      <c r="K480" s="94"/>
      <c r="L480" s="94"/>
      <c r="M480" s="94"/>
      <c r="AG480" s="149"/>
    </row>
    <row r="481" spans="11:33">
      <c r="K481" s="94"/>
      <c r="L481" s="94"/>
      <c r="M481" s="94"/>
      <c r="AG481" s="149"/>
    </row>
    <row r="482" spans="11:33">
      <c r="K482" s="94"/>
      <c r="L482" s="94"/>
      <c r="M482" s="94"/>
      <c r="AG482" s="149"/>
    </row>
    <row r="483" spans="11:33">
      <c r="K483" s="94"/>
      <c r="L483" s="94"/>
      <c r="M483" s="94"/>
      <c r="AG483" s="149"/>
    </row>
    <row r="484" spans="11:33">
      <c r="K484" s="94"/>
      <c r="L484" s="94"/>
      <c r="M484" s="94"/>
      <c r="AG484" s="149"/>
    </row>
    <row r="485" spans="11:33">
      <c r="K485" s="94"/>
      <c r="L485" s="94"/>
      <c r="M485" s="94"/>
      <c r="AG485" s="149"/>
    </row>
    <row r="486" spans="11:33">
      <c r="K486" s="94"/>
      <c r="L486" s="94"/>
      <c r="M486" s="94"/>
      <c r="AG486" s="149"/>
    </row>
    <row r="487" spans="11:33">
      <c r="K487" s="94"/>
      <c r="L487" s="94"/>
      <c r="M487" s="94"/>
      <c r="AG487" s="149"/>
    </row>
    <row r="488" spans="11:33">
      <c r="K488" s="94"/>
      <c r="L488" s="94"/>
      <c r="M488" s="94"/>
      <c r="AG488" s="149"/>
    </row>
    <row r="489" spans="11:33">
      <c r="K489" s="94"/>
      <c r="L489" s="94"/>
      <c r="M489" s="94"/>
      <c r="AG489" s="149"/>
    </row>
    <row r="490" spans="11:33">
      <c r="K490" s="94"/>
      <c r="L490" s="94"/>
      <c r="M490" s="94"/>
      <c r="AG490" s="149"/>
    </row>
    <row r="491" spans="11:33">
      <c r="K491" s="94"/>
      <c r="L491" s="94"/>
      <c r="M491" s="94"/>
      <c r="AG491" s="149"/>
    </row>
    <row r="492" spans="11:33">
      <c r="K492" s="94"/>
      <c r="L492" s="94"/>
      <c r="M492" s="94"/>
      <c r="AG492" s="149"/>
    </row>
    <row r="493" spans="11:33">
      <c r="K493" s="94"/>
      <c r="L493" s="94"/>
      <c r="M493" s="94"/>
      <c r="AG493" s="149"/>
    </row>
    <row r="494" spans="11:33">
      <c r="K494" s="94"/>
      <c r="L494" s="94"/>
      <c r="M494" s="94"/>
      <c r="AG494" s="149"/>
    </row>
    <row r="495" spans="11:33">
      <c r="K495" s="94"/>
      <c r="L495" s="94"/>
      <c r="M495" s="94"/>
      <c r="AG495" s="149"/>
    </row>
    <row r="496" spans="11:33">
      <c r="K496" s="94"/>
      <c r="L496" s="94"/>
      <c r="M496" s="94"/>
      <c r="AG496" s="149"/>
    </row>
    <row r="497" spans="11:33">
      <c r="K497" s="94"/>
      <c r="L497" s="94"/>
      <c r="M497" s="94"/>
      <c r="AG497" s="149"/>
    </row>
    <row r="498" spans="11:33">
      <c r="K498" s="94"/>
      <c r="L498" s="94"/>
      <c r="M498" s="94"/>
      <c r="AG498" s="149"/>
    </row>
    <row r="499" spans="11:33">
      <c r="K499" s="94"/>
      <c r="L499" s="94"/>
      <c r="M499" s="94"/>
      <c r="AG499" s="149"/>
    </row>
    <row r="500" spans="11:33">
      <c r="K500" s="94"/>
      <c r="L500" s="94"/>
      <c r="M500" s="94"/>
      <c r="AG500" s="149"/>
    </row>
    <row r="501" spans="11:33">
      <c r="K501" s="94"/>
      <c r="L501" s="94"/>
      <c r="M501" s="94"/>
      <c r="AG501" s="149"/>
    </row>
    <row r="502" spans="11:33">
      <c r="K502" s="94"/>
      <c r="L502" s="94"/>
      <c r="M502" s="94"/>
      <c r="AG502" s="149"/>
    </row>
    <row r="503" spans="11:33">
      <c r="K503" s="94"/>
      <c r="L503" s="94"/>
      <c r="M503" s="94"/>
      <c r="AG503" s="149"/>
    </row>
    <row r="504" spans="11:33">
      <c r="K504" s="94"/>
      <c r="L504" s="94"/>
      <c r="M504" s="94"/>
      <c r="AG504" s="149"/>
    </row>
    <row r="505" spans="11:33">
      <c r="K505" s="94"/>
      <c r="L505" s="94"/>
      <c r="M505" s="94"/>
      <c r="AG505" s="149"/>
    </row>
    <row r="506" spans="11:33">
      <c r="K506" s="94"/>
      <c r="L506" s="94"/>
      <c r="M506" s="94"/>
      <c r="AG506" s="149"/>
    </row>
    <row r="507" spans="11:33">
      <c r="K507" s="94"/>
      <c r="L507" s="94"/>
      <c r="M507" s="94"/>
      <c r="AG507" s="149"/>
    </row>
    <row r="508" spans="11:33">
      <c r="K508" s="94"/>
      <c r="L508" s="94"/>
      <c r="M508" s="94"/>
      <c r="AG508" s="149"/>
    </row>
    <row r="509" spans="11:33">
      <c r="K509" s="94"/>
      <c r="L509" s="94"/>
      <c r="M509" s="94"/>
      <c r="AG509" s="149"/>
    </row>
    <row r="510" spans="11:33">
      <c r="K510" s="94"/>
      <c r="L510" s="94"/>
      <c r="M510" s="94"/>
      <c r="AG510" s="149"/>
    </row>
    <row r="511" spans="11:33">
      <c r="K511" s="94"/>
      <c r="L511" s="94"/>
      <c r="M511" s="94"/>
      <c r="AG511" s="149"/>
    </row>
    <row r="512" spans="11:33">
      <c r="K512" s="94"/>
      <c r="L512" s="94"/>
      <c r="M512" s="94"/>
      <c r="AG512" s="149"/>
    </row>
    <row r="513" spans="11:33">
      <c r="K513" s="94"/>
      <c r="L513" s="94"/>
      <c r="M513" s="94"/>
      <c r="AG513" s="149"/>
    </row>
    <row r="514" spans="11:33">
      <c r="K514" s="94"/>
      <c r="L514" s="94"/>
      <c r="M514" s="94"/>
      <c r="AG514" s="149"/>
    </row>
    <row r="515" spans="11:33">
      <c r="K515" s="94"/>
      <c r="L515" s="94"/>
      <c r="M515" s="94"/>
      <c r="AG515" s="149"/>
    </row>
    <row r="516" spans="11:33">
      <c r="K516" s="94"/>
      <c r="L516" s="94"/>
      <c r="M516" s="94"/>
      <c r="AG516" s="149"/>
    </row>
    <row r="517" spans="11:33">
      <c r="K517" s="94"/>
      <c r="L517" s="94"/>
      <c r="M517" s="94"/>
      <c r="AG517" s="149"/>
    </row>
    <row r="518" spans="11:33">
      <c r="K518" s="94"/>
      <c r="L518" s="94"/>
      <c r="M518" s="94"/>
      <c r="AG518" s="149"/>
    </row>
    <row r="519" spans="11:33">
      <c r="K519" s="94"/>
      <c r="L519" s="94"/>
      <c r="M519" s="94"/>
      <c r="AG519" s="149"/>
    </row>
    <row r="520" spans="11:33">
      <c r="K520" s="94"/>
      <c r="L520" s="94"/>
      <c r="M520" s="94"/>
      <c r="AG520" s="149"/>
    </row>
    <row r="521" spans="11:33">
      <c r="K521" s="94"/>
      <c r="L521" s="94"/>
      <c r="M521" s="94"/>
      <c r="AG521" s="149"/>
    </row>
    <row r="522" spans="11:33">
      <c r="K522" s="94"/>
      <c r="L522" s="94"/>
      <c r="M522" s="94"/>
      <c r="AG522" s="149"/>
    </row>
    <row r="523" spans="11:33">
      <c r="K523" s="94"/>
      <c r="L523" s="94"/>
      <c r="M523" s="94"/>
      <c r="AG523" s="149"/>
    </row>
    <row r="524" spans="11:33">
      <c r="K524" s="94"/>
      <c r="L524" s="94"/>
      <c r="M524" s="94"/>
      <c r="AG524" s="149"/>
    </row>
    <row r="525" spans="11:33">
      <c r="K525" s="94"/>
      <c r="L525" s="94"/>
      <c r="M525" s="94"/>
      <c r="AG525" s="149"/>
    </row>
    <row r="526" spans="11:33">
      <c r="K526" s="94"/>
      <c r="L526" s="94"/>
      <c r="M526" s="94"/>
      <c r="AG526" s="149"/>
    </row>
    <row r="527" spans="11:33">
      <c r="K527" s="94"/>
      <c r="L527" s="94"/>
      <c r="M527" s="94"/>
      <c r="AG527" s="149"/>
    </row>
    <row r="528" spans="11:33">
      <c r="K528" s="94"/>
      <c r="L528" s="94"/>
      <c r="M528" s="94"/>
      <c r="AG528" s="149"/>
    </row>
    <row r="529" spans="11:33">
      <c r="K529" s="94"/>
      <c r="L529" s="94"/>
      <c r="M529" s="94"/>
      <c r="AG529" s="149"/>
    </row>
    <row r="530" spans="11:33">
      <c r="K530" s="94"/>
      <c r="L530" s="94"/>
      <c r="M530" s="94"/>
      <c r="AG530" s="149"/>
    </row>
    <row r="531" spans="11:33">
      <c r="K531" s="94"/>
      <c r="L531" s="94"/>
      <c r="M531" s="94"/>
      <c r="AG531" s="149"/>
    </row>
    <row r="532" spans="11:33">
      <c r="K532" s="94"/>
      <c r="L532" s="94"/>
      <c r="M532" s="94"/>
      <c r="AG532" s="149"/>
    </row>
    <row r="533" spans="11:33">
      <c r="K533" s="94"/>
      <c r="L533" s="94"/>
      <c r="M533" s="94"/>
      <c r="AG533" s="149"/>
    </row>
    <row r="534" spans="11:33">
      <c r="K534" s="94"/>
      <c r="L534" s="94"/>
      <c r="M534" s="94"/>
      <c r="AG534" s="149"/>
    </row>
    <row r="535" spans="11:33">
      <c r="K535" s="94"/>
      <c r="L535" s="94"/>
      <c r="M535" s="94"/>
      <c r="AG535" s="149"/>
    </row>
    <row r="536" spans="11:33">
      <c r="K536" s="94"/>
      <c r="L536" s="94"/>
      <c r="M536" s="94"/>
      <c r="AG536" s="149"/>
    </row>
    <row r="537" spans="11:33">
      <c r="K537" s="94"/>
      <c r="L537" s="94"/>
      <c r="M537" s="94"/>
      <c r="AG537" s="149"/>
    </row>
    <row r="538" spans="11:33">
      <c r="K538" s="94"/>
      <c r="L538" s="94"/>
      <c r="M538" s="94"/>
      <c r="AG538" s="149"/>
    </row>
    <row r="539" spans="11:33">
      <c r="K539" s="94"/>
      <c r="L539" s="94"/>
      <c r="M539" s="94"/>
      <c r="AG539" s="149"/>
    </row>
    <row r="540" spans="11:33">
      <c r="K540" s="94"/>
      <c r="L540" s="94"/>
      <c r="M540" s="94"/>
      <c r="AG540" s="149"/>
    </row>
    <row r="541" spans="11:33">
      <c r="K541" s="94"/>
      <c r="L541" s="94"/>
      <c r="M541" s="94"/>
      <c r="AG541" s="149"/>
    </row>
    <row r="542" spans="11:33">
      <c r="K542" s="94"/>
      <c r="L542" s="94"/>
      <c r="M542" s="94"/>
      <c r="AG542" s="149"/>
    </row>
    <row r="543" spans="11:33">
      <c r="K543" s="94"/>
      <c r="L543" s="94"/>
      <c r="M543" s="94"/>
      <c r="AG543" s="149"/>
    </row>
    <row r="544" spans="11:33">
      <c r="K544" s="94"/>
      <c r="L544" s="94"/>
      <c r="M544" s="94"/>
      <c r="AG544" s="149"/>
    </row>
    <row r="545" spans="11:33">
      <c r="K545" s="94"/>
      <c r="L545" s="94"/>
      <c r="M545" s="94"/>
      <c r="AG545" s="149"/>
    </row>
    <row r="546" spans="11:33">
      <c r="K546" s="94"/>
      <c r="L546" s="94"/>
      <c r="M546" s="94"/>
      <c r="AG546" s="149"/>
    </row>
    <row r="547" spans="11:33">
      <c r="K547" s="94"/>
      <c r="L547" s="94"/>
      <c r="M547" s="94"/>
      <c r="AG547" s="149"/>
    </row>
    <row r="548" spans="11:33">
      <c r="K548" s="94"/>
      <c r="L548" s="94"/>
      <c r="M548" s="94"/>
      <c r="AG548" s="149"/>
    </row>
    <row r="549" spans="11:33">
      <c r="K549" s="94"/>
      <c r="L549" s="94"/>
      <c r="M549" s="94"/>
      <c r="AG549" s="149"/>
    </row>
    <row r="550" spans="11:33">
      <c r="K550" s="94"/>
      <c r="L550" s="94"/>
      <c r="M550" s="94"/>
      <c r="AG550" s="149"/>
    </row>
    <row r="551" spans="11:33">
      <c r="K551" s="94"/>
      <c r="L551" s="94"/>
      <c r="M551" s="94"/>
      <c r="AG551" s="149"/>
    </row>
    <row r="552" spans="11:33">
      <c r="K552" s="94"/>
      <c r="L552" s="94"/>
      <c r="M552" s="94"/>
      <c r="AG552" s="149"/>
    </row>
    <row r="553" spans="11:33">
      <c r="K553" s="94"/>
      <c r="L553" s="94"/>
      <c r="M553" s="94"/>
      <c r="AG553" s="149"/>
    </row>
    <row r="554" spans="11:33">
      <c r="K554" s="94"/>
      <c r="L554" s="94"/>
      <c r="M554" s="94"/>
      <c r="AG554" s="149"/>
    </row>
    <row r="555" spans="11:33">
      <c r="K555" s="94"/>
      <c r="L555" s="94"/>
      <c r="M555" s="94"/>
      <c r="AG555" s="149"/>
    </row>
    <row r="556" spans="11:33">
      <c r="K556" s="94"/>
      <c r="L556" s="94"/>
      <c r="M556" s="94"/>
      <c r="AG556" s="149"/>
    </row>
    <row r="557" spans="11:33">
      <c r="K557" s="94"/>
      <c r="L557" s="94"/>
      <c r="M557" s="94"/>
      <c r="AG557" s="149"/>
    </row>
    <row r="558" spans="11:33">
      <c r="K558" s="94"/>
      <c r="L558" s="94"/>
      <c r="M558" s="94"/>
      <c r="AG558" s="149"/>
    </row>
    <row r="559" spans="11:33">
      <c r="K559" s="94"/>
      <c r="L559" s="94"/>
      <c r="M559" s="94"/>
      <c r="AG559" s="149"/>
    </row>
    <row r="560" spans="11:33">
      <c r="K560" s="94"/>
      <c r="L560" s="94"/>
      <c r="M560" s="94"/>
      <c r="AG560" s="149"/>
    </row>
    <row r="561" spans="11:33">
      <c r="K561" s="94"/>
      <c r="L561" s="94"/>
      <c r="M561" s="94"/>
      <c r="AG561" s="149"/>
    </row>
    <row r="562" spans="11:33">
      <c r="K562" s="94"/>
      <c r="L562" s="94"/>
      <c r="M562" s="94"/>
      <c r="AG562" s="149"/>
    </row>
    <row r="563" spans="11:33">
      <c r="K563" s="94"/>
      <c r="L563" s="94"/>
      <c r="M563" s="94"/>
      <c r="AG563" s="149"/>
    </row>
    <row r="564" spans="11:33">
      <c r="K564" s="94"/>
      <c r="L564" s="94"/>
      <c r="M564" s="94"/>
      <c r="AG564" s="149"/>
    </row>
    <row r="565" spans="11:33">
      <c r="K565" s="94"/>
      <c r="L565" s="94"/>
      <c r="M565" s="94"/>
      <c r="AG565" s="149"/>
    </row>
    <row r="566" spans="11:33">
      <c r="K566" s="94"/>
      <c r="L566" s="94"/>
      <c r="M566" s="94"/>
      <c r="AG566" s="149"/>
    </row>
    <row r="567" spans="11:33">
      <c r="K567" s="94"/>
      <c r="L567" s="94"/>
      <c r="M567" s="94"/>
      <c r="AG567" s="149"/>
    </row>
    <row r="568" spans="11:33">
      <c r="K568" s="94"/>
      <c r="L568" s="94"/>
      <c r="M568" s="94"/>
      <c r="AG568" s="149"/>
    </row>
    <row r="569" spans="11:33">
      <c r="K569" s="94"/>
      <c r="L569" s="94"/>
      <c r="M569" s="94"/>
      <c r="AG569" s="149"/>
    </row>
    <row r="570" spans="11:33">
      <c r="K570" s="94"/>
      <c r="L570" s="94"/>
      <c r="M570" s="94"/>
      <c r="AG570" s="149"/>
    </row>
    <row r="571" spans="11:33">
      <c r="K571" s="94"/>
      <c r="L571" s="94"/>
      <c r="M571" s="94"/>
      <c r="AG571" s="149"/>
    </row>
    <row r="572" spans="11:33">
      <c r="K572" s="94"/>
      <c r="L572" s="94"/>
      <c r="M572" s="94"/>
      <c r="AG572" s="149"/>
    </row>
    <row r="573" spans="11:33">
      <c r="K573" s="94"/>
      <c r="L573" s="94"/>
      <c r="M573" s="94"/>
      <c r="AG573" s="149"/>
    </row>
    <row r="574" spans="11:33">
      <c r="K574" s="94"/>
      <c r="L574" s="94"/>
      <c r="M574" s="94"/>
      <c r="AG574" s="149"/>
    </row>
    <row r="575" spans="11:33">
      <c r="K575" s="94"/>
      <c r="L575" s="94"/>
      <c r="M575" s="94"/>
      <c r="AG575" s="149"/>
    </row>
    <row r="576" spans="11:33">
      <c r="K576" s="94"/>
      <c r="L576" s="94"/>
      <c r="M576" s="94"/>
      <c r="AG576" s="149"/>
    </row>
    <row r="577" spans="11:33">
      <c r="K577" s="94"/>
      <c r="L577" s="94"/>
      <c r="M577" s="94"/>
      <c r="AG577" s="149"/>
    </row>
    <row r="578" spans="11:33">
      <c r="K578" s="94"/>
      <c r="L578" s="94"/>
      <c r="M578" s="94"/>
      <c r="AG578" s="149"/>
    </row>
    <row r="579" spans="11:33">
      <c r="K579" s="94"/>
      <c r="L579" s="94"/>
      <c r="M579" s="94"/>
      <c r="AG579" s="149"/>
    </row>
    <row r="580" spans="11:33">
      <c r="K580" s="94"/>
      <c r="L580" s="94"/>
      <c r="M580" s="94"/>
      <c r="AG580" s="149"/>
    </row>
    <row r="581" spans="11:33">
      <c r="K581" s="94"/>
      <c r="L581" s="94"/>
      <c r="M581" s="94"/>
      <c r="AG581" s="149"/>
    </row>
    <row r="582" spans="11:33">
      <c r="K582" s="94"/>
      <c r="L582" s="94"/>
      <c r="M582" s="94"/>
      <c r="AG582" s="149"/>
    </row>
    <row r="583" spans="11:33">
      <c r="K583" s="94"/>
      <c r="L583" s="94"/>
      <c r="M583" s="94"/>
      <c r="AG583" s="149"/>
    </row>
    <row r="584" spans="11:33">
      <c r="K584" s="94"/>
      <c r="L584" s="94"/>
      <c r="M584" s="94"/>
      <c r="AG584" s="149"/>
    </row>
    <row r="585" spans="11:33">
      <c r="K585" s="94"/>
      <c r="L585" s="94"/>
      <c r="M585" s="94"/>
      <c r="AG585" s="149"/>
    </row>
    <row r="586" spans="11:33">
      <c r="K586" s="94"/>
      <c r="L586" s="94"/>
      <c r="M586" s="94"/>
      <c r="AG586" s="149"/>
    </row>
    <row r="587" spans="11:33">
      <c r="K587" s="94"/>
      <c r="L587" s="94"/>
      <c r="M587" s="94"/>
    </row>
    <row r="588" spans="11:33">
      <c r="K588" s="94"/>
      <c r="L588" s="94"/>
      <c r="M588" s="94"/>
    </row>
    <row r="589" spans="11:33">
      <c r="K589" s="94"/>
      <c r="L589" s="94"/>
      <c r="M589" s="94"/>
    </row>
  </sheetData>
  <mergeCells count="2">
    <mergeCell ref="A2:B2"/>
    <mergeCell ref="A3:B3"/>
  </mergeCells>
  <hyperlinks>
    <hyperlink ref="D6" r:id="rId1" location="techniques"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10"/>
  <sheetViews>
    <sheetView zoomScaleNormal="100" workbookViewId="0">
      <selection activeCell="J105" sqref="J105"/>
    </sheetView>
  </sheetViews>
  <sheetFormatPr baseColWidth="10" defaultColWidth="8.81640625" defaultRowHeight="13.2"/>
  <cols>
    <col min="1" max="1" width="10.1796875" style="1" customWidth="1"/>
    <col min="2" max="2" width="18" style="1" bestFit="1" customWidth="1"/>
    <col min="3" max="3" width="0.81640625" style="38" customWidth="1"/>
    <col min="4" max="4" width="12.81640625" style="1" customWidth="1"/>
    <col min="5" max="5" width="11.1796875" style="1" customWidth="1"/>
    <col min="6" max="6" width="1" style="38" customWidth="1"/>
    <col min="7" max="7" width="16.81640625" style="1" customWidth="1"/>
    <col min="8" max="8" width="16.1796875" style="1" customWidth="1"/>
    <col min="9" max="9" width="1" style="38" customWidth="1"/>
    <col min="10" max="10" width="15.81640625" style="1" customWidth="1"/>
    <col min="11" max="11" width="17.81640625" style="1" customWidth="1"/>
    <col min="12" max="12" width="10.6328125" style="1" customWidth="1"/>
    <col min="13" max="13" width="1" style="38" customWidth="1"/>
    <col min="14" max="14" width="12.6328125" style="1" customWidth="1"/>
    <col min="15" max="15" width="19.453125" style="1" customWidth="1"/>
    <col min="16" max="16" width="13.6328125" style="1" customWidth="1"/>
    <col min="17" max="17" width="65.1796875" style="1" customWidth="1"/>
    <col min="18" max="18" width="15.6328125" style="1" customWidth="1"/>
    <col min="19" max="19" width="12.36328125" style="1" customWidth="1"/>
    <col min="20" max="20" width="18.81640625" style="1" customWidth="1"/>
    <col min="21" max="21" width="14.36328125" style="1" customWidth="1"/>
    <col min="22" max="22" width="14.1796875" style="1" customWidth="1"/>
    <col min="23" max="23" width="16" style="1" customWidth="1"/>
    <col min="24" max="24" width="12.36328125" style="1" customWidth="1"/>
    <col min="25" max="25" width="18.81640625" style="1" customWidth="1"/>
    <col min="26" max="26" width="14.36328125" style="1" customWidth="1"/>
    <col min="27" max="27" width="14.1796875" style="1" customWidth="1"/>
    <col min="28" max="28" width="16" style="1" customWidth="1"/>
    <col min="29" max="29" width="1.453125" style="1" customWidth="1"/>
    <col min="30" max="32" width="8.81640625" style="1"/>
    <col min="33" max="33" width="59.6328125" style="1" customWidth="1"/>
    <col min="34" max="16384" width="8.81640625" style="1"/>
  </cols>
  <sheetData>
    <row r="1" spans="1:31" s="11" customFormat="1" ht="29.25" customHeight="1">
      <c r="A1" s="163" t="s">
        <v>40</v>
      </c>
      <c r="B1" s="164"/>
      <c r="C1" s="164"/>
      <c r="D1" s="164"/>
      <c r="E1" s="164"/>
      <c r="F1" s="12"/>
      <c r="G1" s="13"/>
      <c r="H1" s="12"/>
      <c r="I1" s="12"/>
      <c r="J1" s="14"/>
      <c r="K1" s="12"/>
      <c r="L1" s="12"/>
      <c r="M1" s="12"/>
      <c r="AD1" s="12"/>
      <c r="AE1" s="12"/>
    </row>
    <row r="2" spans="1:31" s="11" customFormat="1" ht="17.25" customHeight="1">
      <c r="A2" s="159"/>
      <c r="B2" s="160"/>
      <c r="C2" s="47"/>
      <c r="D2" s="48"/>
      <c r="E2" s="12"/>
      <c r="F2" s="12"/>
      <c r="G2" s="13"/>
      <c r="H2" s="12"/>
      <c r="I2" s="12"/>
      <c r="J2" s="14"/>
      <c r="K2" s="12"/>
      <c r="L2" s="12"/>
      <c r="M2" s="12"/>
      <c r="AD2" s="12"/>
      <c r="AE2" s="12"/>
    </row>
    <row r="3" spans="1:31" s="7" customFormat="1" ht="17.399999999999999">
      <c r="A3" s="161" t="s">
        <v>44</v>
      </c>
      <c r="B3" s="162" t="s">
        <v>0</v>
      </c>
      <c r="C3" s="10"/>
      <c r="D3" s="63" t="s">
        <v>1</v>
      </c>
      <c r="E3" s="60"/>
      <c r="F3" s="10"/>
      <c r="G3" s="64" t="s">
        <v>4</v>
      </c>
      <c r="H3" s="65"/>
      <c r="I3" s="66"/>
      <c r="J3" s="67" t="s">
        <v>2</v>
      </c>
      <c r="K3" s="68"/>
      <c r="L3" s="68"/>
      <c r="M3" s="10"/>
      <c r="N3" s="162" t="s">
        <v>15</v>
      </c>
      <c r="O3" s="165"/>
      <c r="P3" s="145"/>
      <c r="Q3" s="104"/>
    </row>
    <row r="4" spans="1:31" s="8" customFormat="1" ht="15.6">
      <c r="A4" s="72"/>
      <c r="B4" s="72"/>
      <c r="C4" s="5"/>
      <c r="D4" s="53"/>
      <c r="E4" s="53"/>
      <c r="F4" s="5"/>
      <c r="G4" s="54"/>
      <c r="H4" s="54"/>
      <c r="I4" s="5"/>
      <c r="J4" s="41"/>
      <c r="K4" s="41"/>
      <c r="L4" s="41"/>
      <c r="M4" s="5"/>
      <c r="N4" s="22" t="s">
        <v>221</v>
      </c>
      <c r="O4" s="142"/>
      <c r="P4" s="140"/>
      <c r="Q4" s="141"/>
    </row>
    <row r="5" spans="1:31" s="52" customFormat="1" ht="30" customHeight="1">
      <c r="A5" s="73" t="s">
        <v>3</v>
      </c>
      <c r="B5" s="73" t="s">
        <v>27</v>
      </c>
      <c r="C5" s="6"/>
      <c r="D5" s="55" t="s">
        <v>61</v>
      </c>
      <c r="E5" s="55" t="s">
        <v>62</v>
      </c>
      <c r="F5" s="6"/>
      <c r="G5" s="56" t="s">
        <v>63</v>
      </c>
      <c r="H5" s="56" t="s">
        <v>62</v>
      </c>
      <c r="I5" s="6"/>
      <c r="J5" s="57" t="s">
        <v>64</v>
      </c>
      <c r="K5" s="57" t="s">
        <v>80</v>
      </c>
      <c r="L5" s="57" t="s">
        <v>78</v>
      </c>
      <c r="M5" s="6"/>
      <c r="N5" s="58" t="s">
        <v>222</v>
      </c>
      <c r="O5" s="58" t="s">
        <v>223</v>
      </c>
      <c r="P5" s="58" t="s">
        <v>1471</v>
      </c>
      <c r="Q5" s="105" t="s">
        <v>224</v>
      </c>
    </row>
    <row r="6" spans="1:31" s="52" customFormat="1" ht="34.200000000000003" customHeight="1">
      <c r="A6" s="74" t="s">
        <v>74</v>
      </c>
      <c r="B6" s="74" t="s">
        <v>75</v>
      </c>
      <c r="C6" s="59"/>
      <c r="D6" s="30"/>
      <c r="E6" s="76" t="s">
        <v>84</v>
      </c>
      <c r="F6" s="59"/>
      <c r="G6" s="31"/>
      <c r="H6" s="77" t="s">
        <v>84</v>
      </c>
      <c r="I6" s="59"/>
      <c r="J6" s="33" t="s">
        <v>88</v>
      </c>
      <c r="K6" s="33" t="s">
        <v>82</v>
      </c>
      <c r="L6" s="33" t="s">
        <v>79</v>
      </c>
      <c r="M6" s="59"/>
      <c r="N6" s="9"/>
      <c r="O6" s="9"/>
      <c r="P6" s="9"/>
      <c r="Q6" s="9"/>
    </row>
    <row r="7" spans="1:31" s="52" customFormat="1" ht="15">
      <c r="A7" s="144">
        <v>6</v>
      </c>
      <c r="B7" s="144" t="s">
        <v>189</v>
      </c>
      <c r="C7" s="143"/>
      <c r="E7" s="144"/>
      <c r="F7" s="143"/>
      <c r="G7" s="146">
        <v>1.7811790413516344E-2</v>
      </c>
      <c r="H7" s="144" t="s">
        <v>188</v>
      </c>
      <c r="I7" s="143"/>
      <c r="J7" s="144"/>
      <c r="K7" s="144"/>
      <c r="L7" s="144"/>
      <c r="M7" s="143"/>
    </row>
    <row r="8" spans="1:31" s="52" customFormat="1" ht="15">
      <c r="A8" s="144">
        <v>6</v>
      </c>
      <c r="B8" s="144" t="s">
        <v>212</v>
      </c>
      <c r="C8" s="143"/>
      <c r="E8" s="144"/>
      <c r="F8" s="143"/>
      <c r="G8" s="146">
        <v>3.9691390170848769E-3</v>
      </c>
      <c r="H8" s="144" t="s">
        <v>188</v>
      </c>
      <c r="I8" s="143"/>
      <c r="J8" s="144"/>
      <c r="K8" s="144"/>
      <c r="L8" s="144"/>
      <c r="M8" s="143"/>
    </row>
    <row r="9" spans="1:31" s="52" customFormat="1" ht="15">
      <c r="A9" s="144">
        <v>6</v>
      </c>
      <c r="B9" s="144" t="s">
        <v>190</v>
      </c>
      <c r="C9" s="143"/>
      <c r="E9" s="144"/>
      <c r="F9" s="143"/>
      <c r="G9" s="146">
        <v>7.3355385563374527E-5</v>
      </c>
      <c r="H9" s="144" t="s">
        <v>188</v>
      </c>
      <c r="I9" s="143"/>
      <c r="J9" s="144"/>
      <c r="K9" s="144"/>
      <c r="L9" s="144"/>
      <c r="M9" s="143"/>
    </row>
    <row r="10" spans="1:31" s="52" customFormat="1" ht="15">
      <c r="A10" s="144">
        <v>6</v>
      </c>
      <c r="B10" s="144" t="s">
        <v>213</v>
      </c>
      <c r="C10" s="143"/>
      <c r="E10" s="144"/>
      <c r="F10" s="143"/>
      <c r="G10" s="146">
        <v>8.1535165952447794E-2</v>
      </c>
      <c r="H10" s="144" t="s">
        <v>188</v>
      </c>
      <c r="I10" s="143"/>
      <c r="J10" s="144"/>
      <c r="K10" s="144"/>
      <c r="L10" s="144"/>
      <c r="M10" s="143"/>
    </row>
    <row r="11" spans="1:31" s="52" customFormat="1" ht="15">
      <c r="A11" s="144">
        <v>6</v>
      </c>
      <c r="B11" s="144" t="s">
        <v>142</v>
      </c>
      <c r="C11" s="143"/>
      <c r="E11" s="144"/>
      <c r="F11" s="143"/>
      <c r="G11" s="146">
        <v>0.22488813012781239</v>
      </c>
      <c r="H11" s="144" t="s">
        <v>188</v>
      </c>
      <c r="I11" s="143"/>
      <c r="J11" s="144"/>
      <c r="K11" s="144"/>
      <c r="L11" s="144"/>
      <c r="M11" s="143"/>
    </row>
    <row r="12" spans="1:31" s="52" customFormat="1" ht="15">
      <c r="A12" s="144">
        <v>6</v>
      </c>
      <c r="B12" s="144" t="s">
        <v>191</v>
      </c>
      <c r="C12" s="143"/>
      <c r="E12" s="144"/>
      <c r="F12" s="143"/>
      <c r="G12" s="146">
        <v>1.5686990972160709E-3</v>
      </c>
      <c r="H12" s="144" t="s">
        <v>188</v>
      </c>
      <c r="I12" s="143"/>
      <c r="J12" s="144"/>
      <c r="K12" s="144"/>
      <c r="L12" s="144"/>
      <c r="M12" s="143"/>
    </row>
    <row r="13" spans="1:31" s="52" customFormat="1" ht="15">
      <c r="A13" s="144">
        <v>6</v>
      </c>
      <c r="B13" s="144" t="s">
        <v>143</v>
      </c>
      <c r="C13" s="143"/>
      <c r="E13" s="144"/>
      <c r="F13" s="143"/>
      <c r="G13" s="146">
        <v>2.2519032156800605E-2</v>
      </c>
      <c r="H13" s="144" t="s">
        <v>188</v>
      </c>
      <c r="I13" s="143"/>
      <c r="J13" s="144"/>
      <c r="K13" s="144"/>
      <c r="L13" s="144"/>
      <c r="M13" s="143"/>
    </row>
    <row r="14" spans="1:31" s="52" customFormat="1" ht="15">
      <c r="A14" s="144">
        <v>6</v>
      </c>
      <c r="B14" s="144" t="s">
        <v>144</v>
      </c>
      <c r="C14" s="143"/>
      <c r="E14" s="144"/>
      <c r="F14" s="143"/>
      <c r="G14" s="146">
        <v>0</v>
      </c>
      <c r="H14" s="144" t="s">
        <v>188</v>
      </c>
      <c r="I14" s="143"/>
      <c r="J14" s="144"/>
      <c r="K14" s="144"/>
      <c r="L14" s="144"/>
      <c r="M14" s="143"/>
    </row>
    <row r="15" spans="1:31" s="52" customFormat="1" ht="15">
      <c r="A15" s="144">
        <v>6</v>
      </c>
      <c r="B15" s="144" t="s">
        <v>145</v>
      </c>
      <c r="C15" s="143"/>
      <c r="E15" s="144"/>
      <c r="F15" s="143"/>
      <c r="G15" s="146">
        <v>0.21602774082515885</v>
      </c>
      <c r="H15" s="144" t="s">
        <v>188</v>
      </c>
      <c r="I15" s="143"/>
      <c r="J15" s="144"/>
      <c r="K15" s="144"/>
      <c r="L15" s="144"/>
      <c r="M15" s="143"/>
    </row>
    <row r="16" spans="1:31" s="52" customFormat="1" ht="15">
      <c r="A16" s="144">
        <v>6</v>
      </c>
      <c r="B16" s="144" t="s">
        <v>146</v>
      </c>
      <c r="C16" s="143"/>
      <c r="E16" s="144"/>
      <c r="F16" s="143"/>
      <c r="G16" s="146">
        <v>2.6545888212134222E-4</v>
      </c>
      <c r="H16" s="144" t="s">
        <v>188</v>
      </c>
      <c r="I16" s="143"/>
      <c r="J16" s="144"/>
      <c r="K16" s="144"/>
      <c r="L16" s="144"/>
      <c r="M16" s="143"/>
    </row>
    <row r="17" spans="1:13" s="52" customFormat="1" ht="15">
      <c r="A17" s="144">
        <v>6</v>
      </c>
      <c r="B17" s="144" t="s">
        <v>147</v>
      </c>
      <c r="C17" s="143"/>
      <c r="E17" s="144"/>
      <c r="F17" s="143"/>
      <c r="G17" s="146">
        <v>0</v>
      </c>
      <c r="H17" s="144" t="s">
        <v>188</v>
      </c>
      <c r="I17" s="143"/>
      <c r="J17" s="144"/>
      <c r="K17" s="144"/>
      <c r="L17" s="144"/>
      <c r="M17" s="143"/>
    </row>
    <row r="18" spans="1:13" s="52" customFormat="1" ht="15">
      <c r="A18" s="144">
        <v>6</v>
      </c>
      <c r="B18" s="144" t="s">
        <v>148</v>
      </c>
      <c r="C18" s="143"/>
      <c r="E18" s="144"/>
      <c r="F18" s="143"/>
      <c r="G18" s="146">
        <v>1.9243749109813309E-2</v>
      </c>
      <c r="H18" s="144" t="s">
        <v>188</v>
      </c>
      <c r="I18" s="143"/>
      <c r="J18" s="144"/>
      <c r="K18" s="144"/>
      <c r="L18" s="144"/>
      <c r="M18" s="143"/>
    </row>
    <row r="19" spans="1:13" s="52" customFormat="1" ht="15">
      <c r="A19" s="144">
        <v>6</v>
      </c>
      <c r="B19" s="144" t="s">
        <v>214</v>
      </c>
      <c r="C19" s="143"/>
      <c r="E19" s="144"/>
      <c r="F19" s="143"/>
      <c r="G19" s="146">
        <v>1.4645632039761401E-3</v>
      </c>
      <c r="H19" s="144" t="s">
        <v>188</v>
      </c>
      <c r="I19" s="143"/>
      <c r="J19" s="144"/>
      <c r="K19" s="144"/>
      <c r="L19" s="144"/>
      <c r="M19" s="143"/>
    </row>
    <row r="20" spans="1:13" s="52" customFormat="1" ht="15">
      <c r="A20" s="144">
        <v>6</v>
      </c>
      <c r="B20" s="144" t="s">
        <v>150</v>
      </c>
      <c r="C20" s="143"/>
      <c r="E20" s="144"/>
      <c r="F20" s="143"/>
      <c r="G20" s="146">
        <v>0.21261274074536704</v>
      </c>
      <c r="H20" s="144" t="s">
        <v>188</v>
      </c>
      <c r="I20" s="143"/>
      <c r="J20" s="144"/>
      <c r="K20" s="144"/>
      <c r="L20" s="144"/>
      <c r="M20" s="143"/>
    </row>
    <row r="21" spans="1:13" s="52" customFormat="1" ht="15">
      <c r="A21" s="144">
        <v>6</v>
      </c>
      <c r="B21" s="144" t="s">
        <v>151</v>
      </c>
      <c r="C21" s="143"/>
      <c r="E21" s="144"/>
      <c r="F21" s="143"/>
      <c r="G21" s="146">
        <v>1.7281335432593153E-3</v>
      </c>
      <c r="H21" s="144" t="s">
        <v>188</v>
      </c>
      <c r="I21" s="143"/>
      <c r="J21" s="144"/>
      <c r="K21" s="144"/>
      <c r="L21" s="144"/>
      <c r="M21" s="143"/>
    </row>
    <row r="22" spans="1:13" s="52" customFormat="1" ht="15">
      <c r="A22" s="144">
        <v>6</v>
      </c>
      <c r="B22" s="144" t="s">
        <v>194</v>
      </c>
      <c r="C22" s="143"/>
      <c r="E22" s="144"/>
      <c r="F22" s="143"/>
      <c r="G22" s="146">
        <v>1.1394924148453143E-3</v>
      </c>
      <c r="H22" s="144" t="s">
        <v>188</v>
      </c>
      <c r="I22" s="143"/>
      <c r="J22" s="144"/>
      <c r="K22" s="144"/>
      <c r="L22" s="144"/>
      <c r="M22" s="143"/>
    </row>
    <row r="23" spans="1:13" s="52" customFormat="1" ht="15">
      <c r="A23" s="144">
        <v>6</v>
      </c>
      <c r="B23" s="144" t="s">
        <v>152</v>
      </c>
      <c r="C23" s="143"/>
      <c r="E23" s="144"/>
      <c r="F23" s="143"/>
      <c r="G23" s="146">
        <v>1.4627450893218765E-2</v>
      </c>
      <c r="H23" s="144" t="s">
        <v>188</v>
      </c>
      <c r="I23" s="143"/>
      <c r="J23" s="144"/>
      <c r="K23" s="144"/>
      <c r="L23" s="144"/>
      <c r="M23" s="143"/>
    </row>
    <row r="24" spans="1:13" s="52" customFormat="1" ht="15">
      <c r="A24" s="144">
        <v>6</v>
      </c>
      <c r="B24" s="144" t="s">
        <v>153</v>
      </c>
      <c r="C24" s="143"/>
      <c r="E24" s="144"/>
      <c r="F24" s="143"/>
      <c r="G24" s="146">
        <v>6.8785736106274508E-4</v>
      </c>
      <c r="H24" s="144" t="s">
        <v>188</v>
      </c>
      <c r="I24" s="143"/>
      <c r="J24" s="144"/>
      <c r="K24" s="144"/>
      <c r="L24" s="144"/>
      <c r="M24" s="143"/>
    </row>
    <row r="25" spans="1:13" s="52" customFormat="1" ht="15">
      <c r="A25" s="144">
        <v>6</v>
      </c>
      <c r="B25" s="144" t="s">
        <v>154</v>
      </c>
      <c r="C25" s="143"/>
      <c r="E25" s="144"/>
      <c r="F25" s="143"/>
      <c r="G25" s="146">
        <v>2.7207867305906169E-8</v>
      </c>
      <c r="H25" s="144" t="s">
        <v>188</v>
      </c>
      <c r="I25" s="143"/>
      <c r="J25" s="144"/>
      <c r="K25" s="144"/>
      <c r="L25" s="144"/>
      <c r="M25" s="143"/>
    </row>
    <row r="26" spans="1:13" s="52" customFormat="1" ht="15">
      <c r="A26" s="144">
        <v>6</v>
      </c>
      <c r="B26" s="144" t="s">
        <v>195</v>
      </c>
      <c r="C26" s="143"/>
      <c r="E26" s="144"/>
      <c r="F26" s="143"/>
      <c r="G26" s="146">
        <v>3.7495361658590221E-4</v>
      </c>
      <c r="H26" s="144" t="s">
        <v>188</v>
      </c>
      <c r="I26" s="143"/>
      <c r="J26" s="144"/>
      <c r="K26" s="144"/>
      <c r="L26" s="144"/>
      <c r="M26" s="143"/>
    </row>
    <row r="27" spans="1:13" s="52" customFormat="1" ht="15">
      <c r="A27" s="144">
        <v>6</v>
      </c>
      <c r="B27" s="144" t="s">
        <v>155</v>
      </c>
      <c r="C27" s="143"/>
      <c r="E27" s="144"/>
      <c r="F27" s="143"/>
      <c r="G27" s="146">
        <v>8.4869464194002977E-4</v>
      </c>
      <c r="H27" s="144" t="s">
        <v>188</v>
      </c>
      <c r="I27" s="143"/>
      <c r="J27" s="144"/>
      <c r="K27" s="144"/>
      <c r="L27" s="144"/>
      <c r="M27" s="143"/>
    </row>
    <row r="28" spans="1:13" s="52" customFormat="1" ht="15">
      <c r="A28" s="144">
        <v>6</v>
      </c>
      <c r="B28" s="144" t="s">
        <v>196</v>
      </c>
      <c r="C28" s="143"/>
      <c r="E28" s="144"/>
      <c r="F28" s="143"/>
      <c r="G28" s="146">
        <v>0</v>
      </c>
      <c r="H28" s="144" t="s">
        <v>188</v>
      </c>
      <c r="I28" s="143"/>
      <c r="J28" s="144"/>
      <c r="K28" s="144"/>
      <c r="L28" s="144"/>
      <c r="M28" s="143"/>
    </row>
    <row r="29" spans="1:13" s="52" customFormat="1" ht="15">
      <c r="A29" s="144">
        <v>6</v>
      </c>
      <c r="B29" s="144" t="s">
        <v>197</v>
      </c>
      <c r="C29" s="143"/>
      <c r="E29" s="144"/>
      <c r="F29" s="143"/>
      <c r="G29" s="146">
        <v>3.786826478419032E-4</v>
      </c>
      <c r="H29" s="144" t="s">
        <v>188</v>
      </c>
      <c r="I29" s="143"/>
      <c r="J29" s="144"/>
      <c r="K29" s="144"/>
      <c r="L29" s="144"/>
      <c r="M29" s="143"/>
    </row>
    <row r="30" spans="1:13" s="52" customFormat="1" ht="15">
      <c r="A30" s="144">
        <v>6</v>
      </c>
      <c r="B30" s="144" t="s">
        <v>198</v>
      </c>
      <c r="C30" s="143"/>
      <c r="E30" s="144"/>
      <c r="F30" s="143"/>
      <c r="G30" s="146">
        <v>5.6064505754782102E-4</v>
      </c>
      <c r="H30" s="144" t="s">
        <v>188</v>
      </c>
      <c r="I30" s="143"/>
      <c r="J30" s="144"/>
      <c r="K30" s="144"/>
      <c r="L30" s="144"/>
      <c r="M30" s="143"/>
    </row>
    <row r="31" spans="1:13" s="52" customFormat="1" ht="15">
      <c r="A31" s="144">
        <v>6</v>
      </c>
      <c r="B31" s="144" t="s">
        <v>199</v>
      </c>
      <c r="C31" s="143"/>
      <c r="E31" s="144"/>
      <c r="F31" s="143"/>
      <c r="G31" s="146">
        <v>4.2506641211464166E-4</v>
      </c>
      <c r="H31" s="144" t="s">
        <v>188</v>
      </c>
      <c r="I31" s="143"/>
      <c r="J31" s="144"/>
      <c r="K31" s="144"/>
      <c r="L31" s="144"/>
      <c r="M31" s="143"/>
    </row>
    <row r="32" spans="1:13" s="52" customFormat="1" ht="15">
      <c r="A32" s="144">
        <v>6</v>
      </c>
      <c r="B32" s="144" t="s">
        <v>200</v>
      </c>
      <c r="C32" s="143"/>
      <c r="E32" s="144"/>
      <c r="F32" s="143"/>
      <c r="G32" s="146">
        <v>1.8177247341985415E-4</v>
      </c>
      <c r="H32" s="144" t="s">
        <v>188</v>
      </c>
      <c r="I32" s="143"/>
      <c r="J32" s="144"/>
      <c r="K32" s="144"/>
      <c r="L32" s="144"/>
      <c r="M32" s="143"/>
    </row>
    <row r="33" spans="1:13" s="52" customFormat="1" ht="15">
      <c r="A33" s="144">
        <v>6</v>
      </c>
      <c r="B33" s="144" t="s">
        <v>201</v>
      </c>
      <c r="C33" s="143"/>
      <c r="E33" s="144"/>
      <c r="F33" s="143"/>
      <c r="G33" s="146">
        <v>4.5572269678070495E-4</v>
      </c>
      <c r="H33" s="144" t="s">
        <v>188</v>
      </c>
      <c r="I33" s="143"/>
      <c r="J33" s="144"/>
      <c r="K33" s="144"/>
      <c r="L33" s="144"/>
      <c r="M33" s="143"/>
    </row>
    <row r="34" spans="1:13" s="52" customFormat="1" ht="15">
      <c r="A34" s="144">
        <v>6</v>
      </c>
      <c r="B34" s="144" t="s">
        <v>202</v>
      </c>
      <c r="C34" s="143"/>
      <c r="E34" s="144"/>
      <c r="F34" s="143"/>
      <c r="G34" s="146">
        <v>1.4289151437554435E-3</v>
      </c>
      <c r="H34" s="144" t="s">
        <v>188</v>
      </c>
      <c r="I34" s="143"/>
      <c r="J34" s="144"/>
      <c r="K34" s="144"/>
      <c r="L34" s="144"/>
      <c r="M34" s="143"/>
    </row>
    <row r="35" spans="1:13" s="52" customFormat="1" ht="15">
      <c r="A35" s="144">
        <v>6</v>
      </c>
      <c r="B35" s="144" t="s">
        <v>203</v>
      </c>
      <c r="C35" s="143"/>
      <c r="E35" s="144"/>
      <c r="F35" s="143"/>
      <c r="G35" s="146">
        <v>3.5806634352788874E-4</v>
      </c>
      <c r="H35" s="144" t="s">
        <v>188</v>
      </c>
      <c r="I35" s="143"/>
      <c r="J35" s="144"/>
      <c r="K35" s="144"/>
      <c r="L35" s="144"/>
      <c r="M35" s="143"/>
    </row>
    <row r="36" spans="1:13" s="52" customFormat="1" ht="15">
      <c r="A36" s="144">
        <v>6</v>
      </c>
      <c r="B36" s="144" t="s">
        <v>204</v>
      </c>
      <c r="C36" s="143"/>
      <c r="E36" s="144"/>
      <c r="F36" s="143"/>
      <c r="G36" s="146">
        <v>0</v>
      </c>
      <c r="H36" s="144" t="s">
        <v>188</v>
      </c>
      <c r="I36" s="143"/>
      <c r="J36" s="144"/>
      <c r="K36" s="144"/>
      <c r="L36" s="144"/>
      <c r="M36" s="143"/>
    </row>
    <row r="37" spans="1:13" s="52" customFormat="1" ht="15">
      <c r="A37" s="144">
        <v>6</v>
      </c>
      <c r="B37" s="144" t="s">
        <v>205</v>
      </c>
      <c r="C37" s="143"/>
      <c r="E37" s="144"/>
      <c r="F37" s="143"/>
      <c r="G37" s="146">
        <v>2.4155669639384919E-4</v>
      </c>
      <c r="H37" s="144" t="s">
        <v>188</v>
      </c>
      <c r="I37" s="143"/>
      <c r="J37" s="144"/>
      <c r="K37" s="144"/>
      <c r="L37" s="144"/>
      <c r="M37" s="143"/>
    </row>
    <row r="38" spans="1:13" s="52" customFormat="1" ht="15">
      <c r="A38" s="144">
        <v>6</v>
      </c>
      <c r="B38" s="144" t="s">
        <v>206</v>
      </c>
      <c r="C38" s="143"/>
      <c r="E38" s="144"/>
      <c r="F38" s="143"/>
      <c r="G38" s="146">
        <v>5.5323930109844668E-3</v>
      </c>
      <c r="H38" s="144" t="s">
        <v>188</v>
      </c>
      <c r="I38" s="143"/>
      <c r="J38" s="144"/>
      <c r="K38" s="144"/>
      <c r="L38" s="144"/>
      <c r="M38" s="143"/>
    </row>
    <row r="39" spans="1:13" s="52" customFormat="1" ht="15">
      <c r="A39" s="144">
        <v>6</v>
      </c>
      <c r="B39" s="144" t="s">
        <v>207</v>
      </c>
      <c r="C39" s="143"/>
      <c r="E39" s="144"/>
      <c r="F39" s="143"/>
      <c r="G39" s="146">
        <v>1.5010683881613298E-3</v>
      </c>
      <c r="H39" s="144" t="s">
        <v>188</v>
      </c>
      <c r="I39" s="143"/>
      <c r="J39" s="144"/>
      <c r="K39" s="144"/>
      <c r="L39" s="144"/>
      <c r="M39" s="143"/>
    </row>
    <row r="40" spans="1:13" s="52" customFormat="1" ht="15">
      <c r="A40" s="144">
        <v>6</v>
      </c>
      <c r="B40" s="144" t="s">
        <v>156</v>
      </c>
      <c r="C40" s="143"/>
      <c r="E40" s="144"/>
      <c r="F40" s="143"/>
      <c r="G40" s="146">
        <v>1.0882334029096312E-4</v>
      </c>
      <c r="H40" s="144" t="s">
        <v>188</v>
      </c>
      <c r="I40" s="143"/>
      <c r="J40" s="144"/>
      <c r="K40" s="144"/>
      <c r="L40" s="144"/>
      <c r="M40" s="143"/>
    </row>
    <row r="41" spans="1:13" s="52" customFormat="1" ht="15">
      <c r="A41" s="144">
        <v>6</v>
      </c>
      <c r="B41" s="144" t="s">
        <v>157</v>
      </c>
      <c r="C41" s="143"/>
      <c r="E41" s="144"/>
      <c r="F41" s="143"/>
      <c r="G41" s="146">
        <v>1.1371463144497457E-3</v>
      </c>
      <c r="H41" s="144" t="s">
        <v>188</v>
      </c>
      <c r="I41" s="143"/>
      <c r="J41" s="144"/>
      <c r="K41" s="144"/>
      <c r="L41" s="144"/>
      <c r="M41" s="143"/>
    </row>
    <row r="42" spans="1:13" s="52" customFormat="1" ht="15">
      <c r="A42" s="144">
        <v>6</v>
      </c>
      <c r="B42" s="144" t="s">
        <v>215</v>
      </c>
      <c r="C42" s="143"/>
      <c r="E42" s="144"/>
      <c r="F42" s="143"/>
      <c r="G42" s="146">
        <v>4.0816576110598454E-4</v>
      </c>
      <c r="H42" s="144" t="s">
        <v>188</v>
      </c>
      <c r="I42" s="143"/>
      <c r="J42" s="144"/>
      <c r="K42" s="144"/>
      <c r="L42" s="144"/>
      <c r="M42" s="143"/>
    </row>
    <row r="43" spans="1:13">
      <c r="A43" s="78">
        <v>11</v>
      </c>
      <c r="B43" s="86" t="s">
        <v>32</v>
      </c>
      <c r="D43" s="78">
        <v>0.01</v>
      </c>
      <c r="E43" s="78" t="s">
        <v>1487</v>
      </c>
      <c r="G43" s="78"/>
      <c r="H43" s="78"/>
    </row>
    <row r="44" spans="1:13">
      <c r="A44" s="78">
        <v>11</v>
      </c>
      <c r="B44" s="86" t="s">
        <v>131</v>
      </c>
      <c r="D44" s="78">
        <v>1E-3</v>
      </c>
      <c r="E44" s="78" t="s">
        <v>1487</v>
      </c>
      <c r="G44" s="78"/>
      <c r="H44" s="78"/>
    </row>
    <row r="45" spans="1:13">
      <c r="A45" s="78">
        <v>11</v>
      </c>
      <c r="B45" s="86" t="s">
        <v>132</v>
      </c>
      <c r="D45" s="78">
        <v>0.01</v>
      </c>
      <c r="E45" s="78" t="s">
        <v>1487</v>
      </c>
      <c r="G45" s="78"/>
      <c r="H45" s="78"/>
    </row>
    <row r="46" spans="1:13">
      <c r="A46" s="78">
        <v>11</v>
      </c>
      <c r="B46" s="86" t="s">
        <v>218</v>
      </c>
      <c r="D46" s="78">
        <v>0.01</v>
      </c>
      <c r="E46" s="78" t="s">
        <v>1487</v>
      </c>
      <c r="G46" s="78"/>
      <c r="H46" s="78"/>
    </row>
    <row r="47" spans="1:13">
      <c r="A47" s="78">
        <v>11</v>
      </c>
      <c r="B47" s="86" t="s">
        <v>134</v>
      </c>
      <c r="D47" s="78">
        <v>5.0000000000000001E-3</v>
      </c>
      <c r="E47" s="78" t="s">
        <v>1487</v>
      </c>
      <c r="G47" s="78"/>
      <c r="H47" s="78"/>
    </row>
    <row r="48" spans="1:13">
      <c r="A48" s="78">
        <v>11</v>
      </c>
      <c r="B48" s="86" t="s">
        <v>135</v>
      </c>
      <c r="D48" s="78">
        <v>0.01</v>
      </c>
      <c r="E48" s="78" t="s">
        <v>1487</v>
      </c>
      <c r="G48" s="78"/>
      <c r="H48" s="78"/>
    </row>
    <row r="49" spans="1:8">
      <c r="A49" s="78">
        <v>11</v>
      </c>
      <c r="B49" s="86" t="s">
        <v>136</v>
      </c>
      <c r="D49" s="78">
        <v>0.01</v>
      </c>
      <c r="E49" s="78" t="s">
        <v>1487</v>
      </c>
      <c r="G49" s="78"/>
      <c r="H49" s="78"/>
    </row>
    <row r="50" spans="1:8">
      <c r="A50" s="78">
        <v>11</v>
      </c>
      <c r="B50" s="86" t="s">
        <v>137</v>
      </c>
      <c r="D50" s="78">
        <v>0.01</v>
      </c>
      <c r="E50" s="78" t="s">
        <v>1487</v>
      </c>
      <c r="G50" s="78"/>
      <c r="H50" s="78"/>
    </row>
    <row r="51" spans="1:8">
      <c r="A51" s="78">
        <v>11</v>
      </c>
      <c r="B51" s="86" t="s">
        <v>138</v>
      </c>
      <c r="D51" s="78">
        <v>0.01</v>
      </c>
      <c r="E51" s="78" t="s">
        <v>1487</v>
      </c>
      <c r="G51" s="78"/>
      <c r="H51" s="78"/>
    </row>
    <row r="52" spans="1:8">
      <c r="A52" s="78">
        <v>11</v>
      </c>
      <c r="B52" s="86" t="s">
        <v>139</v>
      </c>
      <c r="D52" s="78">
        <v>0.01</v>
      </c>
      <c r="E52" s="78" t="s">
        <v>1487</v>
      </c>
      <c r="G52" s="78"/>
      <c r="H52" s="78"/>
    </row>
    <row r="53" spans="1:8">
      <c r="A53" s="78">
        <v>12</v>
      </c>
      <c r="B53" s="86" t="s">
        <v>190</v>
      </c>
      <c r="D53" s="78">
        <v>1</v>
      </c>
      <c r="E53" s="78" t="s">
        <v>1488</v>
      </c>
      <c r="G53" s="78"/>
      <c r="H53" s="78"/>
    </row>
    <row r="54" spans="1:8">
      <c r="A54" s="78">
        <v>12</v>
      </c>
      <c r="B54" s="86" t="s">
        <v>212</v>
      </c>
      <c r="D54" s="78">
        <v>1</v>
      </c>
      <c r="E54" s="78" t="s">
        <v>1488</v>
      </c>
      <c r="G54" s="78"/>
      <c r="H54" s="78"/>
    </row>
    <row r="55" spans="1:8">
      <c r="A55" s="78">
        <v>12</v>
      </c>
      <c r="B55" s="86" t="s">
        <v>141</v>
      </c>
      <c r="D55" s="78">
        <v>5</v>
      </c>
      <c r="E55" s="78" t="s">
        <v>1488</v>
      </c>
      <c r="G55" s="78"/>
      <c r="H55" s="78"/>
    </row>
    <row r="56" spans="1:8">
      <c r="A56" s="78">
        <v>12</v>
      </c>
      <c r="B56" s="86" t="s">
        <v>142</v>
      </c>
      <c r="D56" s="78">
        <v>20</v>
      </c>
      <c r="E56" s="78" t="s">
        <v>1488</v>
      </c>
      <c r="G56" s="78"/>
      <c r="H56" s="78"/>
    </row>
    <row r="57" spans="1:8">
      <c r="A57" s="78">
        <v>12</v>
      </c>
      <c r="B57" s="86" t="s">
        <v>191</v>
      </c>
      <c r="D57" s="78">
        <v>1</v>
      </c>
      <c r="E57" s="78" t="s">
        <v>1488</v>
      </c>
      <c r="G57" s="78"/>
      <c r="H57" s="78"/>
    </row>
    <row r="58" spans="1:8">
      <c r="A58" s="78">
        <v>12</v>
      </c>
      <c r="B58" s="86" t="s">
        <v>143</v>
      </c>
      <c r="D58" s="78">
        <v>20</v>
      </c>
      <c r="E58" s="78" t="s">
        <v>1488</v>
      </c>
      <c r="G58" s="78"/>
      <c r="H58" s="78"/>
    </row>
    <row r="59" spans="1:8">
      <c r="A59" s="78">
        <v>12</v>
      </c>
      <c r="B59" s="86" t="s">
        <v>144</v>
      </c>
      <c r="D59" s="78">
        <v>10</v>
      </c>
      <c r="E59" s="78" t="s">
        <v>1488</v>
      </c>
      <c r="G59" s="78"/>
      <c r="H59" s="78"/>
    </row>
    <row r="60" spans="1:8">
      <c r="A60" s="78">
        <v>12</v>
      </c>
      <c r="B60" s="86" t="s">
        <v>145</v>
      </c>
      <c r="D60" s="78">
        <v>30</v>
      </c>
      <c r="E60" s="78" t="s">
        <v>1488</v>
      </c>
      <c r="G60" s="78"/>
      <c r="H60" s="78"/>
    </row>
    <row r="61" spans="1:8">
      <c r="A61" s="78">
        <v>12</v>
      </c>
      <c r="B61" s="86" t="s">
        <v>146</v>
      </c>
      <c r="D61" s="78">
        <v>1</v>
      </c>
      <c r="E61" s="78" t="s">
        <v>1488</v>
      </c>
      <c r="G61" s="78"/>
      <c r="H61" s="78"/>
    </row>
    <row r="62" spans="1:8">
      <c r="A62" s="78">
        <v>12</v>
      </c>
      <c r="B62" s="86" t="s">
        <v>192</v>
      </c>
      <c r="D62" s="78">
        <v>0.5</v>
      </c>
      <c r="E62" s="78" t="s">
        <v>1488</v>
      </c>
      <c r="G62" s="78"/>
      <c r="H62" s="78"/>
    </row>
    <row r="63" spans="1:8">
      <c r="A63" s="78">
        <v>12</v>
      </c>
      <c r="B63" s="86" t="s">
        <v>1463</v>
      </c>
      <c r="D63" s="78">
        <v>5</v>
      </c>
      <c r="E63" s="78" t="s">
        <v>1488</v>
      </c>
      <c r="G63" s="78"/>
      <c r="H63" s="78"/>
    </row>
    <row r="64" spans="1:8">
      <c r="A64" s="78">
        <v>12</v>
      </c>
      <c r="B64" s="86" t="s">
        <v>147</v>
      </c>
      <c r="D64" s="78">
        <v>1</v>
      </c>
      <c r="E64" s="78" t="s">
        <v>1488</v>
      </c>
      <c r="G64" s="78"/>
      <c r="H64" s="78"/>
    </row>
    <row r="65" spans="1:9">
      <c r="A65" s="78">
        <v>12</v>
      </c>
      <c r="B65" s="86" t="s">
        <v>148</v>
      </c>
      <c r="D65" s="78">
        <v>2</v>
      </c>
      <c r="E65" s="78" t="s">
        <v>1488</v>
      </c>
      <c r="G65" s="78"/>
      <c r="H65" s="78"/>
    </row>
    <row r="66" spans="1:9">
      <c r="A66" s="78">
        <v>12</v>
      </c>
      <c r="B66" s="86" t="s">
        <v>149</v>
      </c>
      <c r="D66" s="78">
        <v>0.5</v>
      </c>
      <c r="E66" s="78" t="s">
        <v>1488</v>
      </c>
      <c r="G66" s="78"/>
      <c r="H66" s="78"/>
    </row>
    <row r="67" spans="1:9">
      <c r="A67" s="78">
        <v>12</v>
      </c>
      <c r="B67" s="86" t="s">
        <v>150</v>
      </c>
      <c r="D67" s="78">
        <v>1</v>
      </c>
      <c r="E67" s="78" t="s">
        <v>1488</v>
      </c>
      <c r="G67" s="78"/>
      <c r="H67" s="78"/>
    </row>
    <row r="68" spans="1:9">
      <c r="A68" s="78">
        <v>12</v>
      </c>
      <c r="B68" s="86" t="s">
        <v>151</v>
      </c>
      <c r="D68" s="78">
        <v>0.2</v>
      </c>
      <c r="E68" s="78" t="s">
        <v>1488</v>
      </c>
      <c r="G68" s="78"/>
      <c r="H68" s="78"/>
    </row>
    <row r="69" spans="1:9">
      <c r="A69" s="78">
        <v>12</v>
      </c>
      <c r="B69" s="86" t="s">
        <v>1464</v>
      </c>
      <c r="D69" s="78">
        <v>2</v>
      </c>
      <c r="E69" s="78" t="s">
        <v>1488</v>
      </c>
      <c r="G69" s="78"/>
      <c r="H69" s="78"/>
    </row>
    <row r="70" spans="1:9">
      <c r="A70" s="78">
        <v>12</v>
      </c>
      <c r="B70" s="86" t="s">
        <v>1465</v>
      </c>
      <c r="D70" s="78">
        <v>0.5</v>
      </c>
      <c r="E70" s="78" t="s">
        <v>1488</v>
      </c>
      <c r="G70" s="78"/>
      <c r="H70" s="78"/>
    </row>
    <row r="71" spans="1:9">
      <c r="A71" s="78">
        <v>12</v>
      </c>
      <c r="B71" s="86" t="s">
        <v>1466</v>
      </c>
      <c r="D71" s="78">
        <v>0.1</v>
      </c>
      <c r="E71" s="78" t="s">
        <v>1488</v>
      </c>
      <c r="G71" s="78"/>
      <c r="H71" s="78"/>
    </row>
    <row r="72" spans="1:9">
      <c r="A72" s="78">
        <v>12</v>
      </c>
      <c r="B72" s="86" t="s">
        <v>193</v>
      </c>
      <c r="D72" s="78">
        <v>1</v>
      </c>
      <c r="E72" s="78" t="s">
        <v>1488</v>
      </c>
      <c r="G72" s="78"/>
      <c r="H72" s="78"/>
    </row>
    <row r="73" spans="1:9">
      <c r="A73" s="78">
        <v>12</v>
      </c>
      <c r="B73" s="86" t="s">
        <v>1467</v>
      </c>
      <c r="D73" s="78">
        <v>0.2</v>
      </c>
      <c r="E73" s="78" t="s">
        <v>1488</v>
      </c>
      <c r="G73" s="78"/>
      <c r="H73" s="78"/>
    </row>
    <row r="74" spans="1:9">
      <c r="A74" s="78">
        <v>12</v>
      </c>
      <c r="B74" s="86" t="s">
        <v>194</v>
      </c>
      <c r="D74" s="78">
        <v>0.1</v>
      </c>
      <c r="E74" s="78" t="s">
        <v>1488</v>
      </c>
      <c r="G74" s="78"/>
      <c r="H74" s="78"/>
    </row>
    <row r="75" spans="1:9">
      <c r="A75" s="78">
        <v>12</v>
      </c>
      <c r="B75" s="86" t="s">
        <v>152</v>
      </c>
      <c r="D75" s="78">
        <v>3</v>
      </c>
      <c r="E75" s="78" t="s">
        <v>1488</v>
      </c>
      <c r="G75" s="78"/>
      <c r="H75" s="78"/>
      <c r="I75" s="38">
        <v>3</v>
      </c>
    </row>
    <row r="76" spans="1:9">
      <c r="A76" s="78">
        <v>12</v>
      </c>
      <c r="B76" s="86" t="s">
        <v>1468</v>
      </c>
      <c r="D76" s="78">
        <v>0.1</v>
      </c>
      <c r="E76" s="78" t="s">
        <v>1488</v>
      </c>
      <c r="G76" s="78"/>
      <c r="H76" s="78"/>
    </row>
    <row r="77" spans="1:9">
      <c r="A77" s="78">
        <v>12</v>
      </c>
      <c r="B77" s="86" t="s">
        <v>153</v>
      </c>
      <c r="D77" s="78">
        <v>0.05</v>
      </c>
      <c r="E77" s="78" t="s">
        <v>1488</v>
      </c>
      <c r="G77" s="78"/>
      <c r="H77" s="78"/>
    </row>
    <row r="78" spans="1:9">
      <c r="A78" s="78">
        <v>12</v>
      </c>
      <c r="B78" s="86" t="s">
        <v>154</v>
      </c>
      <c r="D78" s="78">
        <v>0.05</v>
      </c>
      <c r="E78" s="78" t="s">
        <v>1488</v>
      </c>
      <c r="G78" s="78"/>
      <c r="H78" s="78"/>
    </row>
    <row r="79" spans="1:9">
      <c r="A79" s="78">
        <v>12</v>
      </c>
      <c r="B79" s="86" t="s">
        <v>195</v>
      </c>
      <c r="D79" s="78">
        <v>0.01</v>
      </c>
      <c r="E79" s="78" t="s">
        <v>1488</v>
      </c>
      <c r="G79" s="78"/>
      <c r="H79" s="78"/>
    </row>
    <row r="80" spans="1:9">
      <c r="A80" s="78">
        <v>12</v>
      </c>
      <c r="B80" s="86" t="s">
        <v>155</v>
      </c>
      <c r="D80" s="78">
        <v>0.05</v>
      </c>
      <c r="E80" s="78" t="s">
        <v>1488</v>
      </c>
      <c r="G80" s="78"/>
      <c r="H80" s="78"/>
    </row>
    <row r="81" spans="1:8">
      <c r="A81" s="78">
        <v>12</v>
      </c>
      <c r="B81" s="86" t="s">
        <v>196</v>
      </c>
      <c r="D81" s="78">
        <v>0.01</v>
      </c>
      <c r="E81" s="78" t="s">
        <v>1488</v>
      </c>
      <c r="G81" s="78"/>
      <c r="H81" s="78"/>
    </row>
    <row r="82" spans="1:8">
      <c r="A82" s="78">
        <v>12</v>
      </c>
      <c r="B82" s="86" t="s">
        <v>197</v>
      </c>
      <c r="D82" s="78">
        <v>5.0000000000000001E-3</v>
      </c>
      <c r="E82" s="78" t="s">
        <v>1488</v>
      </c>
      <c r="G82" s="78"/>
      <c r="H82" s="78"/>
    </row>
    <row r="83" spans="1:8">
      <c r="A83" s="78">
        <v>12</v>
      </c>
      <c r="B83" s="86" t="s">
        <v>198</v>
      </c>
      <c r="D83" s="78">
        <v>0.01</v>
      </c>
      <c r="E83" s="78" t="s">
        <v>1488</v>
      </c>
      <c r="G83" s="78"/>
      <c r="H83" s="78"/>
    </row>
    <row r="84" spans="1:8">
      <c r="A84" s="78">
        <v>12</v>
      </c>
      <c r="B84" s="86" t="s">
        <v>199</v>
      </c>
      <c r="D84" s="78">
        <v>0.01</v>
      </c>
      <c r="E84" s="78" t="s">
        <v>1488</v>
      </c>
      <c r="G84" s="78"/>
      <c r="H84" s="78"/>
    </row>
    <row r="85" spans="1:8">
      <c r="A85" s="78">
        <v>12</v>
      </c>
      <c r="B85" s="86" t="s">
        <v>200</v>
      </c>
      <c r="D85" s="78">
        <v>0.01</v>
      </c>
      <c r="E85" s="78" t="s">
        <v>1488</v>
      </c>
      <c r="G85" s="78"/>
      <c r="H85" s="78"/>
    </row>
    <row r="86" spans="1:8">
      <c r="A86" s="78">
        <v>12</v>
      </c>
      <c r="B86" s="86" t="s">
        <v>201</v>
      </c>
      <c r="D86" s="78">
        <v>0.01</v>
      </c>
      <c r="E86" s="78" t="s">
        <v>1488</v>
      </c>
      <c r="G86" s="78"/>
      <c r="H86" s="78"/>
    </row>
    <row r="87" spans="1:8">
      <c r="A87" s="78">
        <v>12</v>
      </c>
      <c r="B87" s="86" t="s">
        <v>202</v>
      </c>
      <c r="D87" s="78">
        <v>0.01</v>
      </c>
      <c r="E87" s="78" t="s">
        <v>1488</v>
      </c>
      <c r="G87" s="78"/>
      <c r="H87" s="78"/>
    </row>
    <row r="88" spans="1:8">
      <c r="A88" s="78">
        <v>12</v>
      </c>
      <c r="B88" s="86" t="s">
        <v>203</v>
      </c>
      <c r="D88" s="78">
        <v>5.0000000000000001E-3</v>
      </c>
      <c r="E88" s="78" t="s">
        <v>1488</v>
      </c>
      <c r="G88" s="78"/>
      <c r="H88" s="78"/>
    </row>
    <row r="89" spans="1:8">
      <c r="A89" s="78">
        <v>12</v>
      </c>
      <c r="B89" s="86" t="s">
        <v>204</v>
      </c>
      <c r="D89" s="78">
        <v>0.01</v>
      </c>
      <c r="E89" s="78" t="s">
        <v>1488</v>
      </c>
      <c r="G89" s="78"/>
      <c r="H89" s="78"/>
    </row>
    <row r="90" spans="1:8">
      <c r="A90" s="78">
        <v>12</v>
      </c>
      <c r="B90" s="86" t="s">
        <v>205</v>
      </c>
      <c r="D90" s="78">
        <v>2E-3</v>
      </c>
      <c r="E90" s="78" t="s">
        <v>1488</v>
      </c>
      <c r="G90" s="78"/>
      <c r="H90" s="78"/>
    </row>
    <row r="91" spans="1:8">
      <c r="A91" s="78">
        <v>12</v>
      </c>
      <c r="B91" s="86" t="s">
        <v>206</v>
      </c>
      <c r="D91" s="78">
        <v>0.1</v>
      </c>
      <c r="E91" s="78" t="s">
        <v>1488</v>
      </c>
      <c r="G91" s="78"/>
      <c r="H91" s="78"/>
    </row>
    <row r="92" spans="1:8">
      <c r="A92" s="78">
        <v>12</v>
      </c>
      <c r="B92" s="86" t="s">
        <v>207</v>
      </c>
      <c r="D92" s="78">
        <v>0.01</v>
      </c>
      <c r="E92" s="78" t="s">
        <v>1488</v>
      </c>
      <c r="G92" s="78"/>
      <c r="H92" s="78"/>
    </row>
    <row r="93" spans="1:8">
      <c r="A93" s="78">
        <v>12</v>
      </c>
      <c r="B93" s="86" t="s">
        <v>208</v>
      </c>
      <c r="D93" s="78">
        <v>0.5</v>
      </c>
      <c r="E93" s="78" t="s">
        <v>1488</v>
      </c>
      <c r="G93" s="78"/>
      <c r="H93" s="78"/>
    </row>
    <row r="94" spans="1:8">
      <c r="A94" s="78">
        <v>12</v>
      </c>
      <c r="B94" s="86" t="s">
        <v>1469</v>
      </c>
      <c r="D94" s="78">
        <v>0.05</v>
      </c>
      <c r="E94" s="78" t="s">
        <v>1488</v>
      </c>
      <c r="G94" s="78"/>
      <c r="H94" s="78"/>
    </row>
    <row r="95" spans="1:8">
      <c r="A95" s="78">
        <v>12</v>
      </c>
      <c r="B95" s="86" t="s">
        <v>156</v>
      </c>
      <c r="D95" s="78">
        <v>5</v>
      </c>
      <c r="E95" s="78" t="s">
        <v>1488</v>
      </c>
      <c r="G95" s="78"/>
      <c r="H95" s="78"/>
    </row>
    <row r="96" spans="1:8">
      <c r="A96" s="78">
        <v>12</v>
      </c>
      <c r="B96" s="86" t="s">
        <v>157</v>
      </c>
      <c r="D96" s="78">
        <v>0.05</v>
      </c>
      <c r="E96" s="78" t="s">
        <v>1488</v>
      </c>
      <c r="G96" s="78"/>
      <c r="H96" s="78"/>
    </row>
    <row r="97" spans="1:17">
      <c r="A97" s="78">
        <v>12</v>
      </c>
      <c r="B97" s="86" t="s">
        <v>158</v>
      </c>
      <c r="D97" s="78">
        <v>0.01</v>
      </c>
      <c r="E97" s="78" t="s">
        <v>1488</v>
      </c>
      <c r="G97" s="78"/>
      <c r="H97" s="78"/>
    </row>
    <row r="98" spans="1:17" ht="13.5" customHeight="1">
      <c r="A98" s="78">
        <v>13</v>
      </c>
      <c r="B98" s="1" t="s">
        <v>136</v>
      </c>
      <c r="N98" s="1">
        <v>0.89459999999999995</v>
      </c>
      <c r="O98" s="1">
        <v>0.2369</v>
      </c>
      <c r="P98" s="1">
        <v>0.97060000000000002</v>
      </c>
      <c r="Q98" s="139" t="s">
        <v>225</v>
      </c>
    </row>
    <row r="99" spans="1:17" ht="13.5" customHeight="1">
      <c r="A99" s="78">
        <v>13</v>
      </c>
      <c r="B99" s="1" t="s">
        <v>138</v>
      </c>
      <c r="N99" s="1">
        <v>0.91639999999999999</v>
      </c>
      <c r="O99" s="1">
        <v>0.36280000000000001</v>
      </c>
      <c r="P99" s="1">
        <v>0.99550000000000005</v>
      </c>
      <c r="Q99" s="139" t="s">
        <v>225</v>
      </c>
    </row>
    <row r="100" spans="1:17" ht="13.5" customHeight="1">
      <c r="A100" s="78">
        <v>13</v>
      </c>
      <c r="B100" s="1" t="s">
        <v>131</v>
      </c>
      <c r="N100" s="1">
        <v>1.0185</v>
      </c>
      <c r="O100" s="1">
        <v>3.7199999999999997E-2</v>
      </c>
      <c r="P100" s="1">
        <v>0.99690000000000001</v>
      </c>
      <c r="Q100" s="139" t="s">
        <v>225</v>
      </c>
    </row>
    <row r="101" spans="1:17" ht="13.5" customHeight="1">
      <c r="A101" s="78">
        <v>13</v>
      </c>
      <c r="B101" s="1" t="s">
        <v>134</v>
      </c>
      <c r="N101" s="1">
        <v>1.004</v>
      </c>
      <c r="O101" s="1">
        <v>-4.4999999999999997E-3</v>
      </c>
      <c r="P101" s="1">
        <v>0.98470000000000002</v>
      </c>
      <c r="Q101" s="139" t="s">
        <v>226</v>
      </c>
    </row>
    <row r="102" spans="1:17" ht="13.5" customHeight="1">
      <c r="A102" s="78">
        <v>13</v>
      </c>
      <c r="B102" s="1" t="s">
        <v>655</v>
      </c>
      <c r="N102" s="1">
        <v>0.83940000000000003</v>
      </c>
      <c r="O102" s="1">
        <v>-0.15040000000000001</v>
      </c>
      <c r="P102" s="1">
        <v>0.99829999999999997</v>
      </c>
      <c r="Q102" s="139" t="s">
        <v>225</v>
      </c>
    </row>
    <row r="103" spans="1:17" ht="13.5" customHeight="1">
      <c r="A103" s="78">
        <v>13</v>
      </c>
      <c r="B103" s="1" t="s">
        <v>143</v>
      </c>
      <c r="N103" s="1">
        <v>0.86550000000000005</v>
      </c>
      <c r="O103" s="1">
        <v>-1.8613</v>
      </c>
      <c r="P103" s="1">
        <v>0.99019999999999997</v>
      </c>
      <c r="Q103" s="139" t="s">
        <v>227</v>
      </c>
    </row>
    <row r="104" spans="1:17" ht="13.5" customHeight="1">
      <c r="A104" s="78">
        <v>13</v>
      </c>
      <c r="B104" s="1" t="s">
        <v>142</v>
      </c>
      <c r="N104" s="1">
        <v>1.0733999999999999</v>
      </c>
      <c r="O104" s="1">
        <v>78.105000000000004</v>
      </c>
      <c r="P104" s="1">
        <v>0.99629999999999996</v>
      </c>
      <c r="Q104" s="139" t="s">
        <v>225</v>
      </c>
    </row>
    <row r="105" spans="1:17" ht="13.5" customHeight="1">
      <c r="A105" s="78">
        <v>13</v>
      </c>
      <c r="B105" s="1" t="s">
        <v>144</v>
      </c>
      <c r="N105" s="1">
        <v>1.0535000000000001</v>
      </c>
      <c r="O105" s="1">
        <v>-10.984999999999999</v>
      </c>
      <c r="P105" s="1">
        <v>0.998</v>
      </c>
      <c r="Q105" s="139" t="s">
        <v>225</v>
      </c>
    </row>
    <row r="106" spans="1:17" ht="13.5" customHeight="1">
      <c r="A106" s="78">
        <v>13</v>
      </c>
      <c r="B106" s="1" t="s">
        <v>145</v>
      </c>
      <c r="N106" s="1">
        <v>1.1075999999999999</v>
      </c>
      <c r="O106" s="1">
        <v>-13.943</v>
      </c>
      <c r="P106" s="1">
        <v>0.9718</v>
      </c>
      <c r="Q106" s="139" t="s">
        <v>225</v>
      </c>
    </row>
    <row r="107" spans="1:17" ht="13.5" customHeight="1">
      <c r="A107" s="78">
        <v>13</v>
      </c>
      <c r="B107" s="1" t="s">
        <v>148</v>
      </c>
      <c r="N107" s="1">
        <v>0.98550000000000004</v>
      </c>
      <c r="O107" s="1">
        <v>-2.2688000000000001</v>
      </c>
      <c r="P107" s="1">
        <v>0.99990000000000001</v>
      </c>
      <c r="Q107" s="139" t="s">
        <v>225</v>
      </c>
    </row>
    <row r="108" spans="1:17" ht="13.5" customHeight="1">
      <c r="A108" s="78">
        <v>13</v>
      </c>
      <c r="B108" s="1" t="s">
        <v>147</v>
      </c>
      <c r="N108" s="1">
        <v>0.9194</v>
      </c>
      <c r="O108" s="1">
        <v>5.2588999999999997</v>
      </c>
      <c r="P108" s="1">
        <v>0.99929999999999997</v>
      </c>
      <c r="Q108" s="139" t="s">
        <v>225</v>
      </c>
    </row>
    <row r="109" spans="1:17" ht="13.5" customHeight="1">
      <c r="A109" s="78">
        <v>13</v>
      </c>
      <c r="B109" s="1" t="s">
        <v>150</v>
      </c>
      <c r="N109" s="1">
        <v>0.98619999999999997</v>
      </c>
      <c r="O109" s="1">
        <v>15.442</v>
      </c>
      <c r="P109" s="1">
        <v>0.997</v>
      </c>
      <c r="Q109" s="139" t="s">
        <v>225</v>
      </c>
    </row>
    <row r="110" spans="1:17" ht="13.5" customHeight="1">
      <c r="A110" s="78">
        <v>13</v>
      </c>
      <c r="B110" s="1" t="s">
        <v>149</v>
      </c>
      <c r="N110" s="1">
        <v>0.93279999999999996</v>
      </c>
      <c r="O110" s="1">
        <v>1.4648000000000001</v>
      </c>
      <c r="P110" s="1">
        <v>0.97909999999999997</v>
      </c>
      <c r="Q110" s="139" t="s">
        <v>225</v>
      </c>
    </row>
  </sheetData>
  <customSheetViews>
    <customSheetView guid="{2CFD7C4A-4E08-F84A-A0D6-1548564B7C42}">
      <selection activeCell="L11" sqref="L11"/>
      <pageMargins left="0.75" right="0.75" top="1" bottom="1" header="0.5" footer="0.5"/>
      <pageSetup orientation="portrait" horizontalDpi="4294967292" verticalDpi="4294967292"/>
      <headerFooter alignWithMargins="0"/>
    </customSheetView>
  </customSheetViews>
  <mergeCells count="4">
    <mergeCell ref="A3:B3"/>
    <mergeCell ref="A2:B2"/>
    <mergeCell ref="A1:E1"/>
    <mergeCell ref="N3:O3"/>
  </mergeCells>
  <phoneticPr fontId="6" type="noConversion"/>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1 Data Source</vt:lpstr>
      <vt:lpstr>2 Core</vt:lpstr>
      <vt:lpstr>3 Data</vt:lpstr>
      <vt:lpstr>4 Primary Analytical Metadata</vt:lpstr>
      <vt:lpstr>5 Method-specific Metadata</vt:lpstr>
    </vt:vector>
  </TitlesOfParts>
  <Company>Columbia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Kerstin Lehnert</dc:creator>
  <cp:lastModifiedBy>Kirsten Elger</cp:lastModifiedBy>
  <cp:lastPrinted>2011-04-05T17:51:21Z</cp:lastPrinted>
  <dcterms:created xsi:type="dcterms:W3CDTF">2007-07-03T13:55:10Z</dcterms:created>
  <dcterms:modified xsi:type="dcterms:W3CDTF">2026-03-26T14:04:00Z</dcterms:modified>
</cp:coreProperties>
</file>