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rzv214c.gfz-potsdam.de\datapub\0_Digis-Expert-Datasets\e.2025.005_Tegner\"/>
    </mc:Choice>
  </mc:AlternateContent>
  <xr:revisionPtr revIDLastSave="0" documentId="13_ncr:1_{FA58B883-5121-4159-AF18-99519F7C418C}" xr6:coauthVersionLast="47" xr6:coauthVersionMax="47" xr10:uidLastSave="{00000000-0000-0000-0000-000000000000}"/>
  <bookViews>
    <workbookView xWindow="-96" yWindow="1116" windowWidth="22080" windowHeight="9960" xr2:uid="{22468346-C252-E940-8314-D2C18672B6C9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42" i="2" l="1"/>
  <c r="AQ142" i="2"/>
  <c r="AP142" i="2"/>
  <c r="AO142" i="2"/>
  <c r="AN142" i="2"/>
  <c r="AM142" i="2"/>
  <c r="AL142" i="2"/>
  <c r="AK142" i="2"/>
  <c r="AJ142" i="2"/>
  <c r="AI142" i="2"/>
  <c r="AH142" i="2"/>
  <c r="AR141" i="2"/>
  <c r="AQ141" i="2"/>
  <c r="AP141" i="2"/>
  <c r="AO141" i="2"/>
  <c r="AN141" i="2"/>
  <c r="AM141" i="2"/>
  <c r="AL141" i="2"/>
  <c r="AK141" i="2"/>
  <c r="AJ141" i="2"/>
  <c r="AI141" i="2"/>
  <c r="AH141" i="2"/>
  <c r="AR140" i="2"/>
  <c r="AQ140" i="2"/>
  <c r="AP140" i="2"/>
  <c r="AO140" i="2"/>
  <c r="AN140" i="2"/>
  <c r="AM140" i="2"/>
  <c r="AL140" i="2"/>
  <c r="AK140" i="2"/>
  <c r="AJ140" i="2"/>
  <c r="AI140" i="2"/>
  <c r="AH140" i="2"/>
  <c r="AR139" i="2"/>
  <c r="AQ139" i="2"/>
  <c r="AP139" i="2"/>
  <c r="AO139" i="2"/>
  <c r="AN139" i="2"/>
  <c r="AM139" i="2"/>
  <c r="AL139" i="2"/>
  <c r="AK139" i="2"/>
  <c r="AJ139" i="2"/>
  <c r="AI139" i="2"/>
  <c r="AH139" i="2"/>
  <c r="AR138" i="2"/>
  <c r="AQ138" i="2"/>
  <c r="AP138" i="2"/>
  <c r="AO138" i="2"/>
  <c r="AN138" i="2"/>
  <c r="AM138" i="2"/>
  <c r="AL138" i="2"/>
  <c r="AK138" i="2"/>
  <c r="AJ138" i="2"/>
  <c r="AI138" i="2"/>
  <c r="AH138" i="2"/>
  <c r="AR137" i="2"/>
  <c r="AQ137" i="2"/>
  <c r="AP137" i="2"/>
  <c r="AO137" i="2"/>
  <c r="AN137" i="2"/>
  <c r="AM137" i="2"/>
  <c r="AL137" i="2"/>
  <c r="AK137" i="2"/>
  <c r="AJ137" i="2"/>
  <c r="AI137" i="2"/>
  <c r="AH137" i="2"/>
  <c r="AR136" i="2"/>
  <c r="AQ136" i="2"/>
  <c r="AP136" i="2"/>
  <c r="AO136" i="2"/>
  <c r="AN136" i="2"/>
  <c r="AM136" i="2"/>
  <c r="AL136" i="2"/>
  <c r="AK136" i="2"/>
  <c r="AJ136" i="2"/>
  <c r="AI136" i="2"/>
  <c r="AH136" i="2"/>
  <c r="AR135" i="2"/>
  <c r="AQ135" i="2"/>
  <c r="AP135" i="2"/>
  <c r="AO135" i="2"/>
  <c r="AN135" i="2"/>
  <c r="AM135" i="2"/>
  <c r="AL135" i="2"/>
  <c r="AK135" i="2"/>
  <c r="AJ135" i="2"/>
  <c r="AI135" i="2"/>
  <c r="AH135" i="2"/>
  <c r="AR134" i="2"/>
  <c r="AQ134" i="2"/>
  <c r="AP134" i="2"/>
  <c r="AO134" i="2"/>
  <c r="AN134" i="2"/>
  <c r="AM134" i="2"/>
  <c r="AL134" i="2"/>
  <c r="AK134" i="2"/>
  <c r="AJ134" i="2"/>
  <c r="AI134" i="2"/>
  <c r="AH134" i="2"/>
  <c r="AR133" i="2"/>
  <c r="AQ133" i="2"/>
  <c r="AP133" i="2"/>
  <c r="AO133" i="2"/>
  <c r="AN133" i="2"/>
  <c r="AM133" i="2"/>
  <c r="AL133" i="2"/>
  <c r="AK133" i="2"/>
  <c r="AJ133" i="2"/>
  <c r="AI133" i="2"/>
  <c r="AH133" i="2"/>
  <c r="AR132" i="2"/>
  <c r="AQ132" i="2"/>
  <c r="AP132" i="2"/>
  <c r="AO132" i="2"/>
  <c r="AN132" i="2"/>
  <c r="AM132" i="2"/>
  <c r="AL132" i="2"/>
  <c r="AK132" i="2"/>
  <c r="AJ132" i="2"/>
  <c r="AI132" i="2"/>
  <c r="AH132" i="2"/>
  <c r="AR131" i="2"/>
  <c r="AQ131" i="2"/>
  <c r="AP131" i="2"/>
  <c r="AO131" i="2"/>
  <c r="AN131" i="2"/>
  <c r="AM131" i="2"/>
  <c r="AL131" i="2"/>
  <c r="AK131" i="2"/>
  <c r="AJ131" i="2"/>
  <c r="AI131" i="2"/>
  <c r="AH131" i="2"/>
  <c r="AR130" i="2"/>
  <c r="AQ130" i="2"/>
  <c r="AP130" i="2"/>
  <c r="AO130" i="2"/>
  <c r="AN130" i="2"/>
  <c r="AM130" i="2"/>
  <c r="AL130" i="2"/>
  <c r="AK130" i="2"/>
  <c r="AJ130" i="2"/>
  <c r="AI130" i="2"/>
  <c r="AH130" i="2"/>
  <c r="AE142" i="2"/>
  <c r="AF142" i="2" s="1"/>
  <c r="AE141" i="2"/>
  <c r="AF141" i="2" s="1"/>
  <c r="AE140" i="2"/>
  <c r="AF140" i="2" s="1"/>
  <c r="AE139" i="2"/>
  <c r="AF139" i="2" s="1"/>
  <c r="AE138" i="2"/>
  <c r="AF138" i="2" s="1"/>
  <c r="AE137" i="2"/>
  <c r="AF137" i="2" s="1"/>
  <c r="AE136" i="2"/>
  <c r="AF136" i="2" s="1"/>
  <c r="AE135" i="2"/>
  <c r="AF135" i="2" s="1"/>
  <c r="AE134" i="2"/>
  <c r="AF134" i="2" s="1"/>
  <c r="AE133" i="2"/>
  <c r="AF133" i="2" s="1"/>
  <c r="AE132" i="2"/>
  <c r="AF132" i="2" s="1"/>
  <c r="AE131" i="2"/>
  <c r="AF131" i="2" s="1"/>
  <c r="AE130" i="2"/>
  <c r="AF130" i="2" s="1"/>
  <c r="AD142" i="2"/>
  <c r="AD141" i="2"/>
  <c r="AD140" i="2"/>
  <c r="AD139" i="2"/>
  <c r="AD138" i="2"/>
  <c r="AD137" i="2"/>
  <c r="AD136" i="2"/>
  <c r="AD135" i="2"/>
  <c r="AD134" i="2"/>
  <c r="AD133" i="2"/>
  <c r="AD132" i="2"/>
  <c r="AD131" i="2"/>
  <c r="AD130" i="2"/>
  <c r="AT139" i="2" l="1"/>
  <c r="AT137" i="2"/>
  <c r="AT138" i="2"/>
  <c r="AT131" i="2"/>
  <c r="AT133" i="2"/>
  <c r="AT140" i="2"/>
  <c r="AT134" i="2"/>
  <c r="AT141" i="2"/>
  <c r="AT136" i="2"/>
  <c r="AT135" i="2"/>
  <c r="AT130" i="2"/>
  <c r="AS139" i="2"/>
  <c r="AS138" i="2"/>
  <c r="AT142" i="2"/>
  <c r="AT132" i="2"/>
  <c r="AS130" i="2"/>
  <c r="AS141" i="2"/>
  <c r="AS136" i="2"/>
  <c r="AS132" i="2"/>
  <c r="AS133" i="2"/>
  <c r="AS134" i="2"/>
  <c r="AS140" i="2"/>
  <c r="AS135" i="2"/>
  <c r="AS131" i="2"/>
  <c r="AS137" i="2"/>
  <c r="AS142" i="2"/>
  <c r="I142" i="2" l="1"/>
  <c r="I141" i="2"/>
  <c r="I139" i="2"/>
  <c r="I140" i="2"/>
  <c r="I138" i="2"/>
  <c r="I136" i="2"/>
  <c r="I131" i="2"/>
  <c r="I132" i="2"/>
  <c r="I135" i="2"/>
  <c r="I137" i="2"/>
  <c r="I134" i="2"/>
  <c r="I133" i="2"/>
  <c r="I130" i="2"/>
  <c r="I250" i="2" l="1"/>
  <c r="I249" i="2"/>
  <c r="I248" i="2"/>
  <c r="I247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2" i="2"/>
  <c r="I231" i="2"/>
  <c r="I230" i="2"/>
  <c r="I229" i="2"/>
  <c r="I228" i="2"/>
  <c r="I227" i="2"/>
  <c r="I226" i="2"/>
  <c r="I225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09" i="2"/>
  <c r="I208" i="2"/>
  <c r="I207" i="2"/>
  <c r="I206" i="2"/>
  <c r="I205" i="2"/>
  <c r="I203" i="2"/>
  <c r="I204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4" i="2"/>
  <c r="I155" i="2"/>
  <c r="I153" i="2"/>
  <c r="I152" i="2"/>
  <c r="I151" i="2"/>
  <c r="I150" i="2"/>
  <c r="I149" i="2"/>
  <c r="I148" i="2"/>
  <c r="I147" i="2"/>
  <c r="I145" i="2"/>
  <c r="I144" i="2"/>
  <c r="AD125" i="2" l="1"/>
  <c r="AD49" i="2"/>
  <c r="AH15" i="2" l="1"/>
  <c r="AD15" i="2"/>
  <c r="AD109" i="2"/>
  <c r="AD108" i="2"/>
  <c r="AD107" i="2"/>
  <c r="AD106" i="2"/>
  <c r="AD105" i="2"/>
  <c r="AD104" i="2"/>
  <c r="AD103" i="2"/>
  <c r="AD95" i="2"/>
  <c r="AD94" i="2"/>
  <c r="AD93" i="2"/>
  <c r="AD92" i="2"/>
  <c r="AD91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50" i="2"/>
  <c r="AD48" i="2"/>
  <c r="AD47" i="2"/>
  <c r="AD46" i="2"/>
  <c r="AD45" i="2"/>
  <c r="AD44" i="2"/>
  <c r="AD43" i="2"/>
  <c r="AD42" i="2"/>
  <c r="AD41" i="2"/>
  <c r="AD40" i="2"/>
  <c r="AD39" i="2"/>
  <c r="AD25" i="2"/>
  <c r="AD24" i="2"/>
  <c r="AD23" i="2"/>
  <c r="AD22" i="2"/>
  <c r="AD21" i="2"/>
  <c r="AD20" i="2"/>
  <c r="AD19" i="2"/>
  <c r="AD18" i="2"/>
  <c r="AD17" i="2"/>
  <c r="AD16" i="2"/>
  <c r="AR454" i="2"/>
  <c r="AQ454" i="2"/>
  <c r="AP454" i="2"/>
  <c r="AO454" i="2"/>
  <c r="AN454" i="2"/>
  <c r="AM454" i="2"/>
  <c r="AL454" i="2"/>
  <c r="AK454" i="2"/>
  <c r="AJ454" i="2"/>
  <c r="AI454" i="2"/>
  <c r="AH454" i="2"/>
  <c r="AE454" i="2"/>
  <c r="AF454" i="2" s="1"/>
  <c r="AD454" i="2"/>
  <c r="AR453" i="2"/>
  <c r="AQ453" i="2"/>
  <c r="AP453" i="2"/>
  <c r="AO453" i="2"/>
  <c r="AN453" i="2"/>
  <c r="AM453" i="2"/>
  <c r="AL453" i="2"/>
  <c r="AK453" i="2"/>
  <c r="AJ453" i="2"/>
  <c r="AI453" i="2"/>
  <c r="AH453" i="2"/>
  <c r="AE453" i="2"/>
  <c r="AF453" i="2" s="1"/>
  <c r="AD453" i="2"/>
  <c r="AR452" i="2"/>
  <c r="AQ452" i="2"/>
  <c r="AP452" i="2"/>
  <c r="AO452" i="2"/>
  <c r="AN452" i="2"/>
  <c r="AM452" i="2"/>
  <c r="AL452" i="2"/>
  <c r="AK452" i="2"/>
  <c r="AJ452" i="2"/>
  <c r="AI452" i="2"/>
  <c r="AH452" i="2"/>
  <c r="AE452" i="2"/>
  <c r="AF452" i="2" s="1"/>
  <c r="AD452" i="2"/>
  <c r="AT452" i="2" l="1"/>
  <c r="AT453" i="2"/>
  <c r="AS452" i="2"/>
  <c r="AT454" i="2"/>
  <c r="AS453" i="2"/>
  <c r="AS454" i="2"/>
  <c r="AJ277" i="2"/>
  <c r="AH277" i="2" l="1"/>
  <c r="AD534" i="2" l="1"/>
  <c r="AR506" i="2"/>
  <c r="AQ506" i="2"/>
  <c r="AP506" i="2"/>
  <c r="AO506" i="2"/>
  <c r="AN506" i="2"/>
  <c r="AM506" i="2"/>
  <c r="AL506" i="2"/>
  <c r="AK506" i="2"/>
  <c r="AJ506" i="2"/>
  <c r="AI506" i="2"/>
  <c r="AH506" i="2"/>
  <c r="AR503" i="2"/>
  <c r="AQ503" i="2"/>
  <c r="AP503" i="2"/>
  <c r="AO503" i="2"/>
  <c r="AN503" i="2"/>
  <c r="AM503" i="2"/>
  <c r="AL503" i="2"/>
  <c r="AK503" i="2"/>
  <c r="AJ503" i="2"/>
  <c r="AI503" i="2"/>
  <c r="AH503" i="2"/>
  <c r="AR501" i="2"/>
  <c r="AQ501" i="2"/>
  <c r="AP501" i="2"/>
  <c r="AO501" i="2"/>
  <c r="AN501" i="2"/>
  <c r="AM501" i="2"/>
  <c r="AL501" i="2"/>
  <c r="AK501" i="2"/>
  <c r="AJ501" i="2"/>
  <c r="AI501" i="2"/>
  <c r="AH501" i="2"/>
  <c r="AR500" i="2"/>
  <c r="AQ500" i="2"/>
  <c r="AP500" i="2"/>
  <c r="AO500" i="2"/>
  <c r="AN500" i="2"/>
  <c r="AM500" i="2"/>
  <c r="AL500" i="2"/>
  <c r="AK500" i="2"/>
  <c r="AJ500" i="2"/>
  <c r="AI500" i="2"/>
  <c r="AH500" i="2"/>
  <c r="AR499" i="2"/>
  <c r="AQ499" i="2"/>
  <c r="AP499" i="2"/>
  <c r="AO499" i="2"/>
  <c r="AN499" i="2"/>
  <c r="AM499" i="2"/>
  <c r="AL499" i="2"/>
  <c r="AK499" i="2"/>
  <c r="AJ499" i="2"/>
  <c r="AI499" i="2"/>
  <c r="AH499" i="2"/>
  <c r="AR494" i="2"/>
  <c r="AQ494" i="2"/>
  <c r="AP494" i="2"/>
  <c r="AO494" i="2"/>
  <c r="AN494" i="2"/>
  <c r="AM494" i="2"/>
  <c r="AL494" i="2"/>
  <c r="AK494" i="2"/>
  <c r="AJ494" i="2"/>
  <c r="AI494" i="2"/>
  <c r="AH494" i="2"/>
  <c r="AR566" i="2"/>
  <c r="AQ566" i="2"/>
  <c r="AP566" i="2"/>
  <c r="AO566" i="2"/>
  <c r="AN566" i="2"/>
  <c r="AM566" i="2"/>
  <c r="AL566" i="2"/>
  <c r="AK566" i="2"/>
  <c r="AJ566" i="2"/>
  <c r="AI566" i="2"/>
  <c r="AH566" i="2"/>
  <c r="AR565" i="2"/>
  <c r="AQ565" i="2"/>
  <c r="AP565" i="2"/>
  <c r="AO565" i="2"/>
  <c r="AN565" i="2"/>
  <c r="AM565" i="2"/>
  <c r="AL565" i="2"/>
  <c r="AK565" i="2"/>
  <c r="AJ565" i="2"/>
  <c r="AI565" i="2"/>
  <c r="AH565" i="2"/>
  <c r="AR564" i="2"/>
  <c r="AQ564" i="2"/>
  <c r="AP564" i="2"/>
  <c r="AO564" i="2"/>
  <c r="AN564" i="2"/>
  <c r="AM564" i="2"/>
  <c r="AL564" i="2"/>
  <c r="AK564" i="2"/>
  <c r="AJ564" i="2"/>
  <c r="AI564" i="2"/>
  <c r="AH564" i="2"/>
  <c r="AR563" i="2"/>
  <c r="AQ563" i="2"/>
  <c r="AP563" i="2"/>
  <c r="AO563" i="2"/>
  <c r="AN563" i="2"/>
  <c r="AM563" i="2"/>
  <c r="AL563" i="2"/>
  <c r="AK563" i="2"/>
  <c r="AJ563" i="2"/>
  <c r="AI563" i="2"/>
  <c r="AH563" i="2"/>
  <c r="AR561" i="2"/>
  <c r="AQ561" i="2"/>
  <c r="AP561" i="2"/>
  <c r="AO561" i="2"/>
  <c r="AN561" i="2"/>
  <c r="AM561" i="2"/>
  <c r="AL561" i="2"/>
  <c r="AK561" i="2"/>
  <c r="AJ561" i="2"/>
  <c r="AI561" i="2"/>
  <c r="AH561" i="2"/>
  <c r="AR537" i="2"/>
  <c r="AQ537" i="2"/>
  <c r="AP537" i="2"/>
  <c r="AO537" i="2"/>
  <c r="AN537" i="2"/>
  <c r="AM537" i="2"/>
  <c r="AL537" i="2"/>
  <c r="AK537" i="2"/>
  <c r="AJ537" i="2"/>
  <c r="AI537" i="2"/>
  <c r="AH537" i="2"/>
  <c r="AR535" i="2"/>
  <c r="AQ535" i="2"/>
  <c r="AP535" i="2"/>
  <c r="AO535" i="2"/>
  <c r="AN535" i="2"/>
  <c r="AM535" i="2"/>
  <c r="AL535" i="2"/>
  <c r="AK535" i="2"/>
  <c r="AJ535" i="2"/>
  <c r="AI535" i="2"/>
  <c r="AH535" i="2"/>
  <c r="AR491" i="2"/>
  <c r="AQ491" i="2"/>
  <c r="AP491" i="2"/>
  <c r="AO491" i="2"/>
  <c r="AN491" i="2"/>
  <c r="AM491" i="2"/>
  <c r="AL491" i="2"/>
  <c r="AK491" i="2"/>
  <c r="AJ491" i="2"/>
  <c r="AI491" i="2"/>
  <c r="AH491" i="2"/>
  <c r="AR490" i="2"/>
  <c r="AQ490" i="2"/>
  <c r="AP490" i="2"/>
  <c r="AO490" i="2"/>
  <c r="AN490" i="2"/>
  <c r="AM490" i="2"/>
  <c r="AL490" i="2"/>
  <c r="AK490" i="2"/>
  <c r="AJ490" i="2"/>
  <c r="AI490" i="2"/>
  <c r="AH490" i="2"/>
  <c r="AR560" i="2"/>
  <c r="AQ560" i="2"/>
  <c r="AP560" i="2"/>
  <c r="AO560" i="2"/>
  <c r="AN560" i="2"/>
  <c r="AM560" i="2"/>
  <c r="AL560" i="2"/>
  <c r="AK560" i="2"/>
  <c r="AJ560" i="2"/>
  <c r="AI560" i="2"/>
  <c r="AH560" i="2"/>
  <c r="AR532" i="2"/>
  <c r="AQ532" i="2"/>
  <c r="AP532" i="2"/>
  <c r="AO532" i="2"/>
  <c r="AN532" i="2"/>
  <c r="AM532" i="2"/>
  <c r="AL532" i="2"/>
  <c r="AK532" i="2"/>
  <c r="AJ532" i="2"/>
  <c r="AI532" i="2"/>
  <c r="AH532" i="2"/>
  <c r="AR530" i="2"/>
  <c r="AQ530" i="2"/>
  <c r="AP530" i="2"/>
  <c r="AO530" i="2"/>
  <c r="AN530" i="2"/>
  <c r="AM530" i="2"/>
  <c r="AL530" i="2"/>
  <c r="AK530" i="2"/>
  <c r="AJ530" i="2"/>
  <c r="AI530" i="2"/>
  <c r="AH530" i="2"/>
  <c r="AR527" i="2"/>
  <c r="AQ527" i="2"/>
  <c r="AP527" i="2"/>
  <c r="AO527" i="2"/>
  <c r="AN527" i="2"/>
  <c r="AM527" i="2"/>
  <c r="AL527" i="2"/>
  <c r="AK527" i="2"/>
  <c r="AJ527" i="2"/>
  <c r="AI527" i="2"/>
  <c r="AH527" i="2"/>
  <c r="AR522" i="2"/>
  <c r="AQ522" i="2"/>
  <c r="AP522" i="2"/>
  <c r="AO522" i="2"/>
  <c r="AN522" i="2"/>
  <c r="AM522" i="2"/>
  <c r="AL522" i="2"/>
  <c r="AK522" i="2"/>
  <c r="AJ522" i="2"/>
  <c r="AI522" i="2"/>
  <c r="AH522" i="2"/>
  <c r="AR518" i="2"/>
  <c r="AQ518" i="2"/>
  <c r="AP518" i="2"/>
  <c r="AO518" i="2"/>
  <c r="AN518" i="2"/>
  <c r="AM518" i="2"/>
  <c r="AL518" i="2"/>
  <c r="AK518" i="2"/>
  <c r="AJ518" i="2"/>
  <c r="AI518" i="2"/>
  <c r="AH518" i="2"/>
  <c r="AR513" i="2"/>
  <c r="AQ513" i="2"/>
  <c r="AP513" i="2"/>
  <c r="AO513" i="2"/>
  <c r="AN513" i="2"/>
  <c r="AM513" i="2"/>
  <c r="AL513" i="2"/>
  <c r="AK513" i="2"/>
  <c r="AJ513" i="2"/>
  <c r="AI513" i="2"/>
  <c r="AH513" i="2"/>
  <c r="AR487" i="2"/>
  <c r="AQ487" i="2"/>
  <c r="AP487" i="2"/>
  <c r="AO487" i="2"/>
  <c r="AN487" i="2"/>
  <c r="AM487" i="2"/>
  <c r="AL487" i="2"/>
  <c r="AK487" i="2"/>
  <c r="AJ487" i="2"/>
  <c r="AI487" i="2"/>
  <c r="AH487" i="2"/>
  <c r="AR512" i="2"/>
  <c r="AQ512" i="2"/>
  <c r="AP512" i="2"/>
  <c r="AO512" i="2"/>
  <c r="AN512" i="2"/>
  <c r="AM512" i="2"/>
  <c r="AL512" i="2"/>
  <c r="AK512" i="2"/>
  <c r="AJ512" i="2"/>
  <c r="AI512" i="2"/>
  <c r="AH512" i="2"/>
  <c r="AR476" i="2"/>
  <c r="AQ476" i="2"/>
  <c r="AP476" i="2"/>
  <c r="AO476" i="2"/>
  <c r="AN476" i="2"/>
  <c r="AM476" i="2"/>
  <c r="AL476" i="2"/>
  <c r="AK476" i="2"/>
  <c r="AJ476" i="2"/>
  <c r="AI476" i="2"/>
  <c r="AH476" i="2"/>
  <c r="AR473" i="2"/>
  <c r="AQ473" i="2"/>
  <c r="AP473" i="2"/>
  <c r="AO473" i="2"/>
  <c r="AN473" i="2"/>
  <c r="AM473" i="2"/>
  <c r="AL473" i="2"/>
  <c r="AK473" i="2"/>
  <c r="AJ473" i="2"/>
  <c r="AI473" i="2"/>
  <c r="AH473" i="2"/>
  <c r="AR469" i="2"/>
  <c r="AQ469" i="2"/>
  <c r="AP469" i="2"/>
  <c r="AO469" i="2"/>
  <c r="AN469" i="2"/>
  <c r="AM469" i="2"/>
  <c r="AL469" i="2"/>
  <c r="AK469" i="2"/>
  <c r="AJ469" i="2"/>
  <c r="AI469" i="2"/>
  <c r="AH469" i="2"/>
  <c r="AR559" i="2"/>
  <c r="AQ559" i="2"/>
  <c r="AP559" i="2"/>
  <c r="AO559" i="2"/>
  <c r="AN559" i="2"/>
  <c r="AM559" i="2"/>
  <c r="AL559" i="2"/>
  <c r="AK559" i="2"/>
  <c r="AJ559" i="2"/>
  <c r="AI559" i="2"/>
  <c r="AH559" i="2"/>
  <c r="AR450" i="2"/>
  <c r="AQ450" i="2"/>
  <c r="AP450" i="2"/>
  <c r="AO450" i="2"/>
  <c r="AN450" i="2"/>
  <c r="AM450" i="2"/>
  <c r="AL450" i="2"/>
  <c r="AK450" i="2"/>
  <c r="AJ450" i="2"/>
  <c r="AI450" i="2"/>
  <c r="AH450" i="2"/>
  <c r="AR281" i="2"/>
  <c r="AQ281" i="2"/>
  <c r="AP281" i="2"/>
  <c r="AO281" i="2"/>
  <c r="AN281" i="2"/>
  <c r="AM281" i="2"/>
  <c r="AL281" i="2"/>
  <c r="AK281" i="2"/>
  <c r="AJ281" i="2"/>
  <c r="AI281" i="2"/>
  <c r="AH281" i="2"/>
  <c r="AR448" i="2"/>
  <c r="AQ448" i="2"/>
  <c r="AP448" i="2"/>
  <c r="AO448" i="2"/>
  <c r="AN448" i="2"/>
  <c r="AM448" i="2"/>
  <c r="AL448" i="2"/>
  <c r="AK448" i="2"/>
  <c r="AJ448" i="2"/>
  <c r="AI448" i="2"/>
  <c r="AH448" i="2"/>
  <c r="AR445" i="2"/>
  <c r="AQ445" i="2"/>
  <c r="AP445" i="2"/>
  <c r="AO445" i="2"/>
  <c r="AN445" i="2"/>
  <c r="AM445" i="2"/>
  <c r="AL445" i="2"/>
  <c r="AK445" i="2"/>
  <c r="AJ445" i="2"/>
  <c r="AI445" i="2"/>
  <c r="AH445" i="2"/>
  <c r="AR441" i="2"/>
  <c r="AQ441" i="2"/>
  <c r="AP441" i="2"/>
  <c r="AO441" i="2"/>
  <c r="AN441" i="2"/>
  <c r="AM441" i="2"/>
  <c r="AL441" i="2"/>
  <c r="AK441" i="2"/>
  <c r="AJ441" i="2"/>
  <c r="AI441" i="2"/>
  <c r="AH441" i="2"/>
  <c r="AR436" i="2"/>
  <c r="AQ436" i="2"/>
  <c r="AP436" i="2"/>
  <c r="AO436" i="2"/>
  <c r="AN436" i="2"/>
  <c r="AM436" i="2"/>
  <c r="AL436" i="2"/>
  <c r="AK436" i="2"/>
  <c r="AJ436" i="2"/>
  <c r="AI436" i="2"/>
  <c r="AH436" i="2"/>
  <c r="AR424" i="2"/>
  <c r="AQ424" i="2"/>
  <c r="AP424" i="2"/>
  <c r="AO424" i="2"/>
  <c r="AN424" i="2"/>
  <c r="AM424" i="2"/>
  <c r="AL424" i="2"/>
  <c r="AK424" i="2"/>
  <c r="AJ424" i="2"/>
  <c r="AI424" i="2"/>
  <c r="AH424" i="2"/>
  <c r="AR418" i="2"/>
  <c r="AQ418" i="2"/>
  <c r="AP418" i="2"/>
  <c r="AO418" i="2"/>
  <c r="AN418" i="2"/>
  <c r="AM418" i="2"/>
  <c r="AL418" i="2"/>
  <c r="AK418" i="2"/>
  <c r="AJ418" i="2"/>
  <c r="AI418" i="2"/>
  <c r="AH418" i="2"/>
  <c r="AR409" i="2"/>
  <c r="AQ409" i="2"/>
  <c r="AP409" i="2"/>
  <c r="AO409" i="2"/>
  <c r="AN409" i="2"/>
  <c r="AM409" i="2"/>
  <c r="AL409" i="2"/>
  <c r="AK409" i="2"/>
  <c r="AJ409" i="2"/>
  <c r="AI409" i="2"/>
  <c r="AH409" i="2"/>
  <c r="AR393" i="2"/>
  <c r="AQ393" i="2"/>
  <c r="AP393" i="2"/>
  <c r="AO393" i="2"/>
  <c r="AN393" i="2"/>
  <c r="AM393" i="2"/>
  <c r="AL393" i="2"/>
  <c r="AK393" i="2"/>
  <c r="AJ393" i="2"/>
  <c r="AI393" i="2"/>
  <c r="AH393" i="2"/>
  <c r="AR362" i="2"/>
  <c r="AQ362" i="2"/>
  <c r="AP362" i="2"/>
  <c r="AO362" i="2"/>
  <c r="AN362" i="2"/>
  <c r="AM362" i="2"/>
  <c r="AL362" i="2"/>
  <c r="AK362" i="2"/>
  <c r="AJ362" i="2"/>
  <c r="AI362" i="2"/>
  <c r="AH362" i="2"/>
  <c r="AR356" i="2"/>
  <c r="AQ356" i="2"/>
  <c r="AP356" i="2"/>
  <c r="AO356" i="2"/>
  <c r="AN356" i="2"/>
  <c r="AM356" i="2"/>
  <c r="AL356" i="2"/>
  <c r="AK356" i="2"/>
  <c r="AJ356" i="2"/>
  <c r="AI356" i="2"/>
  <c r="AH356" i="2"/>
  <c r="AR346" i="2"/>
  <c r="AQ346" i="2"/>
  <c r="AP346" i="2"/>
  <c r="AO346" i="2"/>
  <c r="AN346" i="2"/>
  <c r="AM346" i="2"/>
  <c r="AL346" i="2"/>
  <c r="AK346" i="2"/>
  <c r="AJ346" i="2"/>
  <c r="AI346" i="2"/>
  <c r="AH346" i="2"/>
  <c r="AR308" i="2"/>
  <c r="AQ308" i="2"/>
  <c r="AP308" i="2"/>
  <c r="AO308" i="2"/>
  <c r="AN308" i="2"/>
  <c r="AM308" i="2"/>
  <c r="AL308" i="2"/>
  <c r="AK308" i="2"/>
  <c r="AJ308" i="2"/>
  <c r="AI308" i="2"/>
  <c r="AH308" i="2"/>
  <c r="AR301" i="2"/>
  <c r="AQ301" i="2"/>
  <c r="AP301" i="2"/>
  <c r="AO301" i="2"/>
  <c r="AN301" i="2"/>
  <c r="AM301" i="2"/>
  <c r="AL301" i="2"/>
  <c r="AK301" i="2"/>
  <c r="AJ301" i="2"/>
  <c r="AI301" i="2"/>
  <c r="AH301" i="2"/>
  <c r="AR282" i="2"/>
  <c r="AQ282" i="2"/>
  <c r="AP282" i="2"/>
  <c r="AO282" i="2"/>
  <c r="AN282" i="2"/>
  <c r="AM282" i="2"/>
  <c r="AL282" i="2"/>
  <c r="AK282" i="2"/>
  <c r="AJ282" i="2"/>
  <c r="AI282" i="2"/>
  <c r="AH282" i="2"/>
  <c r="AR601" i="2"/>
  <c r="AQ601" i="2"/>
  <c r="AP601" i="2"/>
  <c r="AO601" i="2"/>
  <c r="AN601" i="2"/>
  <c r="AM601" i="2"/>
  <c r="AL601" i="2"/>
  <c r="AK601" i="2"/>
  <c r="AJ601" i="2"/>
  <c r="AI601" i="2"/>
  <c r="AH601" i="2"/>
  <c r="AR600" i="2"/>
  <c r="AQ600" i="2"/>
  <c r="AP600" i="2"/>
  <c r="AO600" i="2"/>
  <c r="AN600" i="2"/>
  <c r="AM600" i="2"/>
  <c r="AL600" i="2"/>
  <c r="AK600" i="2"/>
  <c r="AJ600" i="2"/>
  <c r="AI600" i="2"/>
  <c r="AH600" i="2"/>
  <c r="AR599" i="2"/>
  <c r="AQ599" i="2"/>
  <c r="AP599" i="2"/>
  <c r="AO599" i="2"/>
  <c r="AN599" i="2"/>
  <c r="AM599" i="2"/>
  <c r="AL599" i="2"/>
  <c r="AK599" i="2"/>
  <c r="AJ599" i="2"/>
  <c r="AI599" i="2"/>
  <c r="AH599" i="2"/>
  <c r="AR598" i="2"/>
  <c r="AQ598" i="2"/>
  <c r="AP598" i="2"/>
  <c r="AO598" i="2"/>
  <c r="AN598" i="2"/>
  <c r="AM598" i="2"/>
  <c r="AL598" i="2"/>
  <c r="AK598" i="2"/>
  <c r="AJ598" i="2"/>
  <c r="AI598" i="2"/>
  <c r="AH598" i="2"/>
  <c r="AR597" i="2"/>
  <c r="AQ597" i="2"/>
  <c r="AP597" i="2"/>
  <c r="AO597" i="2"/>
  <c r="AN597" i="2"/>
  <c r="AM597" i="2"/>
  <c r="AL597" i="2"/>
  <c r="AK597" i="2"/>
  <c r="AJ597" i="2"/>
  <c r="AI597" i="2"/>
  <c r="AH597" i="2"/>
  <c r="AR596" i="2"/>
  <c r="AQ596" i="2"/>
  <c r="AP596" i="2"/>
  <c r="AO596" i="2"/>
  <c r="AN596" i="2"/>
  <c r="AM596" i="2"/>
  <c r="AL596" i="2"/>
  <c r="AK596" i="2"/>
  <c r="AJ596" i="2"/>
  <c r="AI596" i="2"/>
  <c r="AH596" i="2"/>
  <c r="AR595" i="2"/>
  <c r="AQ595" i="2"/>
  <c r="AP595" i="2"/>
  <c r="AO595" i="2"/>
  <c r="AN595" i="2"/>
  <c r="AM595" i="2"/>
  <c r="AL595" i="2"/>
  <c r="AK595" i="2"/>
  <c r="AJ595" i="2"/>
  <c r="AI595" i="2"/>
  <c r="AH595" i="2"/>
  <c r="AR593" i="2"/>
  <c r="AQ593" i="2"/>
  <c r="AP593" i="2"/>
  <c r="AO593" i="2"/>
  <c r="AN593" i="2"/>
  <c r="AM593" i="2"/>
  <c r="AL593" i="2"/>
  <c r="AK593" i="2"/>
  <c r="AJ593" i="2"/>
  <c r="AI593" i="2"/>
  <c r="AH593" i="2"/>
  <c r="AR592" i="2"/>
  <c r="AQ592" i="2"/>
  <c r="AP592" i="2"/>
  <c r="AO592" i="2"/>
  <c r="AN592" i="2"/>
  <c r="AM592" i="2"/>
  <c r="AL592" i="2"/>
  <c r="AK592" i="2"/>
  <c r="AJ592" i="2"/>
  <c r="AI592" i="2"/>
  <c r="AH592" i="2"/>
  <c r="AR591" i="2"/>
  <c r="AQ591" i="2"/>
  <c r="AP591" i="2"/>
  <c r="AO591" i="2"/>
  <c r="AN591" i="2"/>
  <c r="AM591" i="2"/>
  <c r="AL591" i="2"/>
  <c r="AK591" i="2"/>
  <c r="AJ591" i="2"/>
  <c r="AI591" i="2"/>
  <c r="AH591" i="2"/>
  <c r="AR590" i="2"/>
  <c r="AQ590" i="2"/>
  <c r="AP590" i="2"/>
  <c r="AO590" i="2"/>
  <c r="AN590" i="2"/>
  <c r="AM590" i="2"/>
  <c r="AL590" i="2"/>
  <c r="AK590" i="2"/>
  <c r="AJ590" i="2"/>
  <c r="AI590" i="2"/>
  <c r="AH590" i="2"/>
  <c r="AR589" i="2"/>
  <c r="AQ589" i="2"/>
  <c r="AP589" i="2"/>
  <c r="AO589" i="2"/>
  <c r="AN589" i="2"/>
  <c r="AM589" i="2"/>
  <c r="AL589" i="2"/>
  <c r="AK589" i="2"/>
  <c r="AJ589" i="2"/>
  <c r="AI589" i="2"/>
  <c r="AH589" i="2"/>
  <c r="AR588" i="2"/>
  <c r="AQ588" i="2"/>
  <c r="AP588" i="2"/>
  <c r="AO588" i="2"/>
  <c r="AN588" i="2"/>
  <c r="AM588" i="2"/>
  <c r="AL588" i="2"/>
  <c r="AK588" i="2"/>
  <c r="AJ588" i="2"/>
  <c r="AI588" i="2"/>
  <c r="AH588" i="2"/>
  <c r="AR587" i="2"/>
  <c r="AQ587" i="2"/>
  <c r="AP587" i="2"/>
  <c r="AO587" i="2"/>
  <c r="AN587" i="2"/>
  <c r="AM587" i="2"/>
  <c r="AL587" i="2"/>
  <c r="AK587" i="2"/>
  <c r="AJ587" i="2"/>
  <c r="AI587" i="2"/>
  <c r="AH587" i="2"/>
  <c r="AR586" i="2"/>
  <c r="AQ586" i="2"/>
  <c r="AP586" i="2"/>
  <c r="AO586" i="2"/>
  <c r="AN586" i="2"/>
  <c r="AM586" i="2"/>
  <c r="AL586" i="2"/>
  <c r="AK586" i="2"/>
  <c r="AJ586" i="2"/>
  <c r="AI586" i="2"/>
  <c r="AH586" i="2"/>
  <c r="AR584" i="2"/>
  <c r="AQ584" i="2"/>
  <c r="AP584" i="2"/>
  <c r="AO584" i="2"/>
  <c r="AN584" i="2"/>
  <c r="AM584" i="2"/>
  <c r="AL584" i="2"/>
  <c r="AK584" i="2"/>
  <c r="AJ584" i="2"/>
  <c r="AI584" i="2"/>
  <c r="AH584" i="2"/>
  <c r="AR583" i="2"/>
  <c r="AQ583" i="2"/>
  <c r="AP583" i="2"/>
  <c r="AO583" i="2"/>
  <c r="AN583" i="2"/>
  <c r="AM583" i="2"/>
  <c r="AL583" i="2"/>
  <c r="AK583" i="2"/>
  <c r="AJ583" i="2"/>
  <c r="AI583" i="2"/>
  <c r="AH583" i="2"/>
  <c r="AR582" i="2"/>
  <c r="AQ582" i="2"/>
  <c r="AP582" i="2"/>
  <c r="AO582" i="2"/>
  <c r="AN582" i="2"/>
  <c r="AM582" i="2"/>
  <c r="AL582" i="2"/>
  <c r="AK582" i="2"/>
  <c r="AJ582" i="2"/>
  <c r="AI582" i="2"/>
  <c r="AH582" i="2"/>
  <c r="AR581" i="2"/>
  <c r="AQ581" i="2"/>
  <c r="AP581" i="2"/>
  <c r="AO581" i="2"/>
  <c r="AN581" i="2"/>
  <c r="AM581" i="2"/>
  <c r="AL581" i="2"/>
  <c r="AK581" i="2"/>
  <c r="AJ581" i="2"/>
  <c r="AI581" i="2"/>
  <c r="AH581" i="2"/>
  <c r="AR580" i="2"/>
  <c r="AQ580" i="2"/>
  <c r="AP580" i="2"/>
  <c r="AO580" i="2"/>
  <c r="AN580" i="2"/>
  <c r="AM580" i="2"/>
  <c r="AL580" i="2"/>
  <c r="AK580" i="2"/>
  <c r="AJ580" i="2"/>
  <c r="AI580" i="2"/>
  <c r="AH580" i="2"/>
  <c r="AR579" i="2"/>
  <c r="AQ579" i="2"/>
  <c r="AP579" i="2"/>
  <c r="AO579" i="2"/>
  <c r="AN579" i="2"/>
  <c r="AM579" i="2"/>
  <c r="AL579" i="2"/>
  <c r="AK579" i="2"/>
  <c r="AJ579" i="2"/>
  <c r="AI579" i="2"/>
  <c r="AH579" i="2"/>
  <c r="AR578" i="2"/>
  <c r="AQ578" i="2"/>
  <c r="AP578" i="2"/>
  <c r="AO578" i="2"/>
  <c r="AN578" i="2"/>
  <c r="AM578" i="2"/>
  <c r="AL578" i="2"/>
  <c r="AK578" i="2"/>
  <c r="AJ578" i="2"/>
  <c r="AI578" i="2"/>
  <c r="AH578" i="2"/>
  <c r="AR577" i="2"/>
  <c r="AQ577" i="2"/>
  <c r="AP577" i="2"/>
  <c r="AO577" i="2"/>
  <c r="AN577" i="2"/>
  <c r="AM577" i="2"/>
  <c r="AL577" i="2"/>
  <c r="AK577" i="2"/>
  <c r="AJ577" i="2"/>
  <c r="AI577" i="2"/>
  <c r="AH577" i="2"/>
  <c r="AR576" i="2"/>
  <c r="AQ576" i="2"/>
  <c r="AP576" i="2"/>
  <c r="AO576" i="2"/>
  <c r="AN576" i="2"/>
  <c r="AM576" i="2"/>
  <c r="AL576" i="2"/>
  <c r="AK576" i="2"/>
  <c r="AJ576" i="2"/>
  <c r="AI576" i="2"/>
  <c r="AH576" i="2"/>
  <c r="AR575" i="2"/>
  <c r="AQ575" i="2"/>
  <c r="AP575" i="2"/>
  <c r="AO575" i="2"/>
  <c r="AN575" i="2"/>
  <c r="AM575" i="2"/>
  <c r="AL575" i="2"/>
  <c r="AK575" i="2"/>
  <c r="AJ575" i="2"/>
  <c r="AI575" i="2"/>
  <c r="AH575" i="2"/>
  <c r="AR542" i="2"/>
  <c r="AQ542" i="2"/>
  <c r="AP542" i="2"/>
  <c r="AO542" i="2"/>
  <c r="AN542" i="2"/>
  <c r="AM542" i="2"/>
  <c r="AL542" i="2"/>
  <c r="AK542" i="2"/>
  <c r="AJ542" i="2"/>
  <c r="AI542" i="2"/>
  <c r="AH542" i="2"/>
  <c r="AR552" i="2"/>
  <c r="AQ552" i="2"/>
  <c r="AP552" i="2"/>
  <c r="AO552" i="2"/>
  <c r="AN552" i="2"/>
  <c r="AM552" i="2"/>
  <c r="AL552" i="2"/>
  <c r="AK552" i="2"/>
  <c r="AJ552" i="2"/>
  <c r="AI552" i="2"/>
  <c r="AH552" i="2"/>
  <c r="AR547" i="2"/>
  <c r="AQ547" i="2"/>
  <c r="AP547" i="2"/>
  <c r="AO547" i="2"/>
  <c r="AN547" i="2"/>
  <c r="AM547" i="2"/>
  <c r="AL547" i="2"/>
  <c r="AK547" i="2"/>
  <c r="AJ547" i="2"/>
  <c r="AI547" i="2"/>
  <c r="AH547" i="2"/>
  <c r="AR557" i="2"/>
  <c r="AQ557" i="2"/>
  <c r="AP557" i="2"/>
  <c r="AO557" i="2"/>
  <c r="AN557" i="2"/>
  <c r="AM557" i="2"/>
  <c r="AL557" i="2"/>
  <c r="AK557" i="2"/>
  <c r="AJ557" i="2"/>
  <c r="AI557" i="2"/>
  <c r="AH557" i="2"/>
  <c r="AR545" i="2"/>
  <c r="AQ545" i="2"/>
  <c r="AP545" i="2"/>
  <c r="AO545" i="2"/>
  <c r="AN545" i="2"/>
  <c r="AM545" i="2"/>
  <c r="AL545" i="2"/>
  <c r="AK545" i="2"/>
  <c r="AJ545" i="2"/>
  <c r="AI545" i="2"/>
  <c r="AH545" i="2"/>
  <c r="AR546" i="2"/>
  <c r="AQ546" i="2"/>
  <c r="AP546" i="2"/>
  <c r="AO546" i="2"/>
  <c r="AN546" i="2"/>
  <c r="AM546" i="2"/>
  <c r="AL546" i="2"/>
  <c r="AK546" i="2"/>
  <c r="AJ546" i="2"/>
  <c r="AI546" i="2"/>
  <c r="AH546" i="2"/>
  <c r="AR551" i="2"/>
  <c r="AQ551" i="2"/>
  <c r="AP551" i="2"/>
  <c r="AO551" i="2"/>
  <c r="AN551" i="2"/>
  <c r="AM551" i="2"/>
  <c r="AL551" i="2"/>
  <c r="AK551" i="2"/>
  <c r="AJ551" i="2"/>
  <c r="AI551" i="2"/>
  <c r="AH551" i="2"/>
  <c r="AR555" i="2"/>
  <c r="AQ555" i="2"/>
  <c r="AP555" i="2"/>
  <c r="AO555" i="2"/>
  <c r="AN555" i="2"/>
  <c r="AM555" i="2"/>
  <c r="AL555" i="2"/>
  <c r="AK555" i="2"/>
  <c r="AJ555" i="2"/>
  <c r="AI555" i="2"/>
  <c r="AH555" i="2"/>
  <c r="AR549" i="2"/>
  <c r="AQ549" i="2"/>
  <c r="AP549" i="2"/>
  <c r="AO549" i="2"/>
  <c r="AN549" i="2"/>
  <c r="AM549" i="2"/>
  <c r="AL549" i="2"/>
  <c r="AK549" i="2"/>
  <c r="AJ549" i="2"/>
  <c r="AI549" i="2"/>
  <c r="AH549" i="2"/>
  <c r="AR548" i="2"/>
  <c r="AQ548" i="2"/>
  <c r="AP548" i="2"/>
  <c r="AO548" i="2"/>
  <c r="AN548" i="2"/>
  <c r="AM548" i="2"/>
  <c r="AL548" i="2"/>
  <c r="AK548" i="2"/>
  <c r="AJ548" i="2"/>
  <c r="AI548" i="2"/>
  <c r="AH548" i="2"/>
  <c r="AR554" i="2"/>
  <c r="AQ554" i="2"/>
  <c r="AP554" i="2"/>
  <c r="AO554" i="2"/>
  <c r="AN554" i="2"/>
  <c r="AM554" i="2"/>
  <c r="AL554" i="2"/>
  <c r="AK554" i="2"/>
  <c r="AJ554" i="2"/>
  <c r="AI554" i="2"/>
  <c r="AH554" i="2"/>
  <c r="AR550" i="2"/>
  <c r="AQ550" i="2"/>
  <c r="AP550" i="2"/>
  <c r="AO550" i="2"/>
  <c r="AN550" i="2"/>
  <c r="AM550" i="2"/>
  <c r="AL550" i="2"/>
  <c r="AK550" i="2"/>
  <c r="AJ550" i="2"/>
  <c r="AI550" i="2"/>
  <c r="AH550" i="2"/>
  <c r="AR553" i="2"/>
  <c r="AQ553" i="2"/>
  <c r="AP553" i="2"/>
  <c r="AO553" i="2"/>
  <c r="AN553" i="2"/>
  <c r="AM553" i="2"/>
  <c r="AL553" i="2"/>
  <c r="AK553" i="2"/>
  <c r="AJ553" i="2"/>
  <c r="AI553" i="2"/>
  <c r="AH553" i="2"/>
  <c r="AR556" i="2"/>
  <c r="AQ556" i="2"/>
  <c r="AP556" i="2"/>
  <c r="AO556" i="2"/>
  <c r="AN556" i="2"/>
  <c r="AM556" i="2"/>
  <c r="AL556" i="2"/>
  <c r="AK556" i="2"/>
  <c r="AJ556" i="2"/>
  <c r="AI556" i="2"/>
  <c r="AH556" i="2"/>
  <c r="AR544" i="2"/>
  <c r="AQ544" i="2"/>
  <c r="AP544" i="2"/>
  <c r="AO544" i="2"/>
  <c r="AN544" i="2"/>
  <c r="AM544" i="2"/>
  <c r="AL544" i="2"/>
  <c r="AK544" i="2"/>
  <c r="AJ544" i="2"/>
  <c r="AI544" i="2"/>
  <c r="AH544" i="2"/>
  <c r="AR543" i="2"/>
  <c r="AQ543" i="2"/>
  <c r="AP543" i="2"/>
  <c r="AO543" i="2"/>
  <c r="AN543" i="2"/>
  <c r="AM543" i="2"/>
  <c r="AL543" i="2"/>
  <c r="AK543" i="2"/>
  <c r="AJ543" i="2"/>
  <c r="AI543" i="2"/>
  <c r="AH543" i="2"/>
  <c r="AR509" i="2"/>
  <c r="AQ509" i="2"/>
  <c r="AP509" i="2"/>
  <c r="AO509" i="2"/>
  <c r="AN509" i="2"/>
  <c r="AM509" i="2"/>
  <c r="AL509" i="2"/>
  <c r="AK509" i="2"/>
  <c r="AJ509" i="2"/>
  <c r="AI509" i="2"/>
  <c r="AH509" i="2"/>
  <c r="AR510" i="2"/>
  <c r="AQ510" i="2"/>
  <c r="AP510" i="2"/>
  <c r="AO510" i="2"/>
  <c r="AN510" i="2"/>
  <c r="AM510" i="2"/>
  <c r="AL510" i="2"/>
  <c r="AK510" i="2"/>
  <c r="AJ510" i="2"/>
  <c r="AI510" i="2"/>
  <c r="AH510" i="2"/>
  <c r="AR511" i="2"/>
  <c r="AQ511" i="2"/>
  <c r="AP511" i="2"/>
  <c r="AO511" i="2"/>
  <c r="AN511" i="2"/>
  <c r="AM511" i="2"/>
  <c r="AL511" i="2"/>
  <c r="AK511" i="2"/>
  <c r="AJ511" i="2"/>
  <c r="AI511" i="2"/>
  <c r="AH511" i="2"/>
  <c r="AR538" i="2"/>
  <c r="AQ538" i="2"/>
  <c r="AP538" i="2"/>
  <c r="AO538" i="2"/>
  <c r="AN538" i="2"/>
  <c r="AM538" i="2"/>
  <c r="AL538" i="2"/>
  <c r="AK538" i="2"/>
  <c r="AJ538" i="2"/>
  <c r="AI538" i="2"/>
  <c r="AH538" i="2"/>
  <c r="AR539" i="2"/>
  <c r="AQ539" i="2"/>
  <c r="AP539" i="2"/>
  <c r="AO539" i="2"/>
  <c r="AN539" i="2"/>
  <c r="AM539" i="2"/>
  <c r="AL539" i="2"/>
  <c r="AK539" i="2"/>
  <c r="AJ539" i="2"/>
  <c r="AI539" i="2"/>
  <c r="AH539" i="2"/>
  <c r="AR516" i="2"/>
  <c r="AQ516" i="2"/>
  <c r="AP516" i="2"/>
  <c r="AO516" i="2"/>
  <c r="AN516" i="2"/>
  <c r="AM516" i="2"/>
  <c r="AL516" i="2"/>
  <c r="AK516" i="2"/>
  <c r="AJ516" i="2"/>
  <c r="AI516" i="2"/>
  <c r="AH516" i="2"/>
  <c r="AR534" i="2"/>
  <c r="AQ534" i="2"/>
  <c r="AP534" i="2"/>
  <c r="AO534" i="2"/>
  <c r="AN534" i="2"/>
  <c r="AM534" i="2"/>
  <c r="AL534" i="2"/>
  <c r="AK534" i="2"/>
  <c r="AJ534" i="2"/>
  <c r="AI534" i="2"/>
  <c r="AH534" i="2"/>
  <c r="AR520" i="2"/>
  <c r="AQ520" i="2"/>
  <c r="AP520" i="2"/>
  <c r="AO520" i="2"/>
  <c r="AN520" i="2"/>
  <c r="AM520" i="2"/>
  <c r="AL520" i="2"/>
  <c r="AK520" i="2"/>
  <c r="AJ520" i="2"/>
  <c r="AI520" i="2"/>
  <c r="AH520" i="2"/>
  <c r="AR479" i="2"/>
  <c r="AQ479" i="2"/>
  <c r="AP479" i="2"/>
  <c r="AO479" i="2"/>
  <c r="AN479" i="2"/>
  <c r="AM479" i="2"/>
  <c r="AL479" i="2"/>
  <c r="AK479" i="2"/>
  <c r="AJ479" i="2"/>
  <c r="AI479" i="2"/>
  <c r="AH479" i="2"/>
  <c r="AR459" i="2"/>
  <c r="AQ459" i="2"/>
  <c r="AP459" i="2"/>
  <c r="AO459" i="2"/>
  <c r="AN459" i="2"/>
  <c r="AM459" i="2"/>
  <c r="AL459" i="2"/>
  <c r="AK459" i="2"/>
  <c r="AJ459" i="2"/>
  <c r="AI459" i="2"/>
  <c r="AH459" i="2"/>
  <c r="AR484" i="2"/>
  <c r="AQ484" i="2"/>
  <c r="AP484" i="2"/>
  <c r="AO484" i="2"/>
  <c r="AN484" i="2"/>
  <c r="AM484" i="2"/>
  <c r="AL484" i="2"/>
  <c r="AK484" i="2"/>
  <c r="AJ484" i="2"/>
  <c r="AI484" i="2"/>
  <c r="AH484" i="2"/>
  <c r="AR466" i="2"/>
  <c r="AQ466" i="2"/>
  <c r="AP466" i="2"/>
  <c r="AO466" i="2"/>
  <c r="AN466" i="2"/>
  <c r="AM466" i="2"/>
  <c r="AL466" i="2"/>
  <c r="AK466" i="2"/>
  <c r="AJ466" i="2"/>
  <c r="AI466" i="2"/>
  <c r="AH466" i="2"/>
  <c r="AR458" i="2"/>
  <c r="AQ458" i="2"/>
  <c r="AP458" i="2"/>
  <c r="AO458" i="2"/>
  <c r="AN458" i="2"/>
  <c r="AM458" i="2"/>
  <c r="AL458" i="2"/>
  <c r="AK458" i="2"/>
  <c r="AJ458" i="2"/>
  <c r="AI458" i="2"/>
  <c r="AH458" i="2"/>
  <c r="AR461" i="2"/>
  <c r="AQ461" i="2"/>
  <c r="AP461" i="2"/>
  <c r="AO461" i="2"/>
  <c r="AN461" i="2"/>
  <c r="AM461" i="2"/>
  <c r="AL461" i="2"/>
  <c r="AK461" i="2"/>
  <c r="AJ461" i="2"/>
  <c r="AI461" i="2"/>
  <c r="AH461" i="2"/>
  <c r="AR456" i="2"/>
  <c r="AQ456" i="2"/>
  <c r="AP456" i="2"/>
  <c r="AO456" i="2"/>
  <c r="AN456" i="2"/>
  <c r="AM456" i="2"/>
  <c r="AL456" i="2"/>
  <c r="AK456" i="2"/>
  <c r="AJ456" i="2"/>
  <c r="AI456" i="2"/>
  <c r="AH456" i="2"/>
  <c r="AR465" i="2"/>
  <c r="AQ465" i="2"/>
  <c r="AP465" i="2"/>
  <c r="AO465" i="2"/>
  <c r="AN465" i="2"/>
  <c r="AM465" i="2"/>
  <c r="AL465" i="2"/>
  <c r="AK465" i="2"/>
  <c r="AJ465" i="2"/>
  <c r="AI465" i="2"/>
  <c r="AH465" i="2"/>
  <c r="AR463" i="2"/>
  <c r="AQ463" i="2"/>
  <c r="AP463" i="2"/>
  <c r="AO463" i="2"/>
  <c r="AN463" i="2"/>
  <c r="AM463" i="2"/>
  <c r="AL463" i="2"/>
  <c r="AK463" i="2"/>
  <c r="AJ463" i="2"/>
  <c r="AI463" i="2"/>
  <c r="AH463" i="2"/>
  <c r="AR483" i="2"/>
  <c r="AQ483" i="2"/>
  <c r="AP483" i="2"/>
  <c r="AO483" i="2"/>
  <c r="AN483" i="2"/>
  <c r="AM483" i="2"/>
  <c r="AL483" i="2"/>
  <c r="AK483" i="2"/>
  <c r="AJ483" i="2"/>
  <c r="AI483" i="2"/>
  <c r="AH483" i="2"/>
  <c r="AR477" i="2"/>
  <c r="AQ477" i="2"/>
  <c r="AP477" i="2"/>
  <c r="AO477" i="2"/>
  <c r="AN477" i="2"/>
  <c r="AM477" i="2"/>
  <c r="AL477" i="2"/>
  <c r="AK477" i="2"/>
  <c r="AJ477" i="2"/>
  <c r="AI477" i="2"/>
  <c r="AH477" i="2"/>
  <c r="AR457" i="2"/>
  <c r="AQ457" i="2"/>
  <c r="AP457" i="2"/>
  <c r="AO457" i="2"/>
  <c r="AN457" i="2"/>
  <c r="AM457" i="2"/>
  <c r="AL457" i="2"/>
  <c r="AK457" i="2"/>
  <c r="AJ457" i="2"/>
  <c r="AI457" i="2"/>
  <c r="AH457" i="2"/>
  <c r="AR470" i="2"/>
  <c r="AQ470" i="2"/>
  <c r="AP470" i="2"/>
  <c r="AO470" i="2"/>
  <c r="AN470" i="2"/>
  <c r="AM470" i="2"/>
  <c r="AL470" i="2"/>
  <c r="AK470" i="2"/>
  <c r="AJ470" i="2"/>
  <c r="AI470" i="2"/>
  <c r="AH470" i="2"/>
  <c r="AR481" i="2"/>
  <c r="AQ481" i="2"/>
  <c r="AP481" i="2"/>
  <c r="AO481" i="2"/>
  <c r="AN481" i="2"/>
  <c r="AM481" i="2"/>
  <c r="AL481" i="2"/>
  <c r="AK481" i="2"/>
  <c r="AJ481" i="2"/>
  <c r="AI481" i="2"/>
  <c r="AH481" i="2"/>
  <c r="AR478" i="2"/>
  <c r="AQ478" i="2"/>
  <c r="AP478" i="2"/>
  <c r="AO478" i="2"/>
  <c r="AN478" i="2"/>
  <c r="AM478" i="2"/>
  <c r="AL478" i="2"/>
  <c r="AK478" i="2"/>
  <c r="AJ478" i="2"/>
  <c r="AI478" i="2"/>
  <c r="AH478" i="2"/>
  <c r="AR485" i="2"/>
  <c r="AQ485" i="2"/>
  <c r="AP485" i="2"/>
  <c r="AO485" i="2"/>
  <c r="AN485" i="2"/>
  <c r="AM485" i="2"/>
  <c r="AL485" i="2"/>
  <c r="AK485" i="2"/>
  <c r="AJ485" i="2"/>
  <c r="AI485" i="2"/>
  <c r="AH485" i="2"/>
  <c r="AR475" i="2"/>
  <c r="AQ475" i="2"/>
  <c r="AP475" i="2"/>
  <c r="AO475" i="2"/>
  <c r="AN475" i="2"/>
  <c r="AM475" i="2"/>
  <c r="AL475" i="2"/>
  <c r="AK475" i="2"/>
  <c r="AJ475" i="2"/>
  <c r="AI475" i="2"/>
  <c r="AH475" i="2"/>
  <c r="AR462" i="2"/>
  <c r="AQ462" i="2"/>
  <c r="AP462" i="2"/>
  <c r="AO462" i="2"/>
  <c r="AN462" i="2"/>
  <c r="AM462" i="2"/>
  <c r="AL462" i="2"/>
  <c r="AK462" i="2"/>
  <c r="AJ462" i="2"/>
  <c r="AI462" i="2"/>
  <c r="AH462" i="2"/>
  <c r="AR488" i="2"/>
  <c r="AQ488" i="2"/>
  <c r="AP488" i="2"/>
  <c r="AO488" i="2"/>
  <c r="AN488" i="2"/>
  <c r="AM488" i="2"/>
  <c r="AL488" i="2"/>
  <c r="AK488" i="2"/>
  <c r="AJ488" i="2"/>
  <c r="AI488" i="2"/>
  <c r="AH488" i="2"/>
  <c r="AR482" i="2"/>
  <c r="AQ482" i="2"/>
  <c r="AP482" i="2"/>
  <c r="AO482" i="2"/>
  <c r="AN482" i="2"/>
  <c r="AM482" i="2"/>
  <c r="AL482" i="2"/>
  <c r="AK482" i="2"/>
  <c r="AJ482" i="2"/>
  <c r="AI482" i="2"/>
  <c r="AH482" i="2"/>
  <c r="AR471" i="2"/>
  <c r="AQ471" i="2"/>
  <c r="AP471" i="2"/>
  <c r="AO471" i="2"/>
  <c r="AN471" i="2"/>
  <c r="AM471" i="2"/>
  <c r="AL471" i="2"/>
  <c r="AK471" i="2"/>
  <c r="AJ471" i="2"/>
  <c r="AI471" i="2"/>
  <c r="AH471" i="2"/>
  <c r="AR486" i="2"/>
  <c r="AQ486" i="2"/>
  <c r="AP486" i="2"/>
  <c r="AO486" i="2"/>
  <c r="AN486" i="2"/>
  <c r="AM486" i="2"/>
  <c r="AL486" i="2"/>
  <c r="AK486" i="2"/>
  <c r="AJ486" i="2"/>
  <c r="AI486" i="2"/>
  <c r="AH486" i="2"/>
  <c r="AR464" i="2"/>
  <c r="AQ464" i="2"/>
  <c r="AP464" i="2"/>
  <c r="AO464" i="2"/>
  <c r="AN464" i="2"/>
  <c r="AM464" i="2"/>
  <c r="AL464" i="2"/>
  <c r="AK464" i="2"/>
  <c r="AJ464" i="2"/>
  <c r="AI464" i="2"/>
  <c r="AH464" i="2"/>
  <c r="AR460" i="2"/>
  <c r="AQ460" i="2"/>
  <c r="AP460" i="2"/>
  <c r="AO460" i="2"/>
  <c r="AN460" i="2"/>
  <c r="AM460" i="2"/>
  <c r="AL460" i="2"/>
  <c r="AK460" i="2"/>
  <c r="AJ460" i="2"/>
  <c r="AI460" i="2"/>
  <c r="AH460" i="2"/>
  <c r="AR474" i="2"/>
  <c r="AQ474" i="2"/>
  <c r="AP474" i="2"/>
  <c r="AO474" i="2"/>
  <c r="AN474" i="2"/>
  <c r="AM474" i="2"/>
  <c r="AL474" i="2"/>
  <c r="AK474" i="2"/>
  <c r="AJ474" i="2"/>
  <c r="AI474" i="2"/>
  <c r="AH474" i="2"/>
  <c r="AR480" i="2"/>
  <c r="AQ480" i="2"/>
  <c r="AP480" i="2"/>
  <c r="AO480" i="2"/>
  <c r="AN480" i="2"/>
  <c r="AM480" i="2"/>
  <c r="AL480" i="2"/>
  <c r="AK480" i="2"/>
  <c r="AJ480" i="2"/>
  <c r="AI480" i="2"/>
  <c r="AH480" i="2"/>
  <c r="AR489" i="2"/>
  <c r="AQ489" i="2"/>
  <c r="AP489" i="2"/>
  <c r="AO489" i="2"/>
  <c r="AN489" i="2"/>
  <c r="AM489" i="2"/>
  <c r="AL489" i="2"/>
  <c r="AK489" i="2"/>
  <c r="AJ489" i="2"/>
  <c r="AI489" i="2"/>
  <c r="AH489" i="2"/>
  <c r="AR498" i="2"/>
  <c r="AQ498" i="2"/>
  <c r="AP498" i="2"/>
  <c r="AO498" i="2"/>
  <c r="AN498" i="2"/>
  <c r="AM498" i="2"/>
  <c r="AL498" i="2"/>
  <c r="AK498" i="2"/>
  <c r="AJ498" i="2"/>
  <c r="AI498" i="2"/>
  <c r="AH498" i="2"/>
  <c r="AR497" i="2"/>
  <c r="AQ497" i="2"/>
  <c r="AP497" i="2"/>
  <c r="AO497" i="2"/>
  <c r="AN497" i="2"/>
  <c r="AM497" i="2"/>
  <c r="AL497" i="2"/>
  <c r="AK497" i="2"/>
  <c r="AJ497" i="2"/>
  <c r="AI497" i="2"/>
  <c r="AH497" i="2"/>
  <c r="AR493" i="2"/>
  <c r="AQ493" i="2"/>
  <c r="AP493" i="2"/>
  <c r="AO493" i="2"/>
  <c r="AN493" i="2"/>
  <c r="AM493" i="2"/>
  <c r="AL493" i="2"/>
  <c r="AK493" i="2"/>
  <c r="AJ493" i="2"/>
  <c r="AI493" i="2"/>
  <c r="AH493" i="2"/>
  <c r="AR492" i="2"/>
  <c r="AQ492" i="2"/>
  <c r="AP492" i="2"/>
  <c r="AO492" i="2"/>
  <c r="AN492" i="2"/>
  <c r="AM492" i="2"/>
  <c r="AL492" i="2"/>
  <c r="AK492" i="2"/>
  <c r="AJ492" i="2"/>
  <c r="AI492" i="2"/>
  <c r="AH492" i="2"/>
  <c r="AR495" i="2"/>
  <c r="AQ495" i="2"/>
  <c r="AP495" i="2"/>
  <c r="AO495" i="2"/>
  <c r="AN495" i="2"/>
  <c r="AM495" i="2"/>
  <c r="AL495" i="2"/>
  <c r="AK495" i="2"/>
  <c r="AJ495" i="2"/>
  <c r="AI495" i="2"/>
  <c r="AH495" i="2"/>
  <c r="AR496" i="2"/>
  <c r="AQ496" i="2"/>
  <c r="AP496" i="2"/>
  <c r="AO496" i="2"/>
  <c r="AN496" i="2"/>
  <c r="AM496" i="2"/>
  <c r="AL496" i="2"/>
  <c r="AK496" i="2"/>
  <c r="AJ496" i="2"/>
  <c r="AI496" i="2"/>
  <c r="AH496" i="2"/>
  <c r="AR444" i="2"/>
  <c r="AQ444" i="2"/>
  <c r="AP444" i="2"/>
  <c r="AO444" i="2"/>
  <c r="AN444" i="2"/>
  <c r="AM444" i="2"/>
  <c r="AL444" i="2"/>
  <c r="AK444" i="2"/>
  <c r="AJ444" i="2"/>
  <c r="AI444" i="2"/>
  <c r="AH444" i="2"/>
  <c r="AR443" i="2"/>
  <c r="AQ443" i="2"/>
  <c r="AP443" i="2"/>
  <c r="AO443" i="2"/>
  <c r="AN443" i="2"/>
  <c r="AM443" i="2"/>
  <c r="AL443" i="2"/>
  <c r="AK443" i="2"/>
  <c r="AJ443" i="2"/>
  <c r="AI443" i="2"/>
  <c r="AH443" i="2"/>
  <c r="AR442" i="2"/>
  <c r="AQ442" i="2"/>
  <c r="AP442" i="2"/>
  <c r="AO442" i="2"/>
  <c r="AN442" i="2"/>
  <c r="AM442" i="2"/>
  <c r="AL442" i="2"/>
  <c r="AK442" i="2"/>
  <c r="AJ442" i="2"/>
  <c r="AI442" i="2"/>
  <c r="AH442" i="2"/>
  <c r="AR438" i="2"/>
  <c r="AQ438" i="2"/>
  <c r="AP438" i="2"/>
  <c r="AO438" i="2"/>
  <c r="AN438" i="2"/>
  <c r="AM438" i="2"/>
  <c r="AL438" i="2"/>
  <c r="AK438" i="2"/>
  <c r="AJ438" i="2"/>
  <c r="AI438" i="2"/>
  <c r="AH438" i="2"/>
  <c r="AR434" i="2"/>
  <c r="AQ434" i="2"/>
  <c r="AP434" i="2"/>
  <c r="AO434" i="2"/>
  <c r="AN434" i="2"/>
  <c r="AM434" i="2"/>
  <c r="AL434" i="2"/>
  <c r="AK434" i="2"/>
  <c r="AJ434" i="2"/>
  <c r="AI434" i="2"/>
  <c r="AH434" i="2"/>
  <c r="AR433" i="2"/>
  <c r="AQ433" i="2"/>
  <c r="AP433" i="2"/>
  <c r="AO433" i="2"/>
  <c r="AN433" i="2"/>
  <c r="AM433" i="2"/>
  <c r="AL433" i="2"/>
  <c r="AK433" i="2"/>
  <c r="AJ433" i="2"/>
  <c r="AI433" i="2"/>
  <c r="AH433" i="2"/>
  <c r="AR430" i="2"/>
  <c r="AQ430" i="2"/>
  <c r="AP430" i="2"/>
  <c r="AO430" i="2"/>
  <c r="AN430" i="2"/>
  <c r="AM430" i="2"/>
  <c r="AL430" i="2"/>
  <c r="AK430" i="2"/>
  <c r="AJ430" i="2"/>
  <c r="AI430" i="2"/>
  <c r="AH430" i="2"/>
  <c r="AR429" i="2"/>
  <c r="AQ429" i="2"/>
  <c r="AP429" i="2"/>
  <c r="AO429" i="2"/>
  <c r="AN429" i="2"/>
  <c r="AM429" i="2"/>
  <c r="AL429" i="2"/>
  <c r="AK429" i="2"/>
  <c r="AJ429" i="2"/>
  <c r="AI429" i="2"/>
  <c r="AH429" i="2"/>
  <c r="AR426" i="2"/>
  <c r="AQ426" i="2"/>
  <c r="AP426" i="2"/>
  <c r="AO426" i="2"/>
  <c r="AN426" i="2"/>
  <c r="AM426" i="2"/>
  <c r="AL426" i="2"/>
  <c r="AK426" i="2"/>
  <c r="AJ426" i="2"/>
  <c r="AI426" i="2"/>
  <c r="AH426" i="2"/>
  <c r="AR425" i="2"/>
  <c r="AQ425" i="2"/>
  <c r="AP425" i="2"/>
  <c r="AO425" i="2"/>
  <c r="AN425" i="2"/>
  <c r="AM425" i="2"/>
  <c r="AL425" i="2"/>
  <c r="AK425" i="2"/>
  <c r="AJ425" i="2"/>
  <c r="AI425" i="2"/>
  <c r="AH425" i="2"/>
  <c r="AR422" i="2"/>
  <c r="AQ422" i="2"/>
  <c r="AP422" i="2"/>
  <c r="AO422" i="2"/>
  <c r="AN422" i="2"/>
  <c r="AM422" i="2"/>
  <c r="AL422" i="2"/>
  <c r="AK422" i="2"/>
  <c r="AJ422" i="2"/>
  <c r="AI422" i="2"/>
  <c r="AH422" i="2"/>
  <c r="AR421" i="2"/>
  <c r="AQ421" i="2"/>
  <c r="AP421" i="2"/>
  <c r="AO421" i="2"/>
  <c r="AN421" i="2"/>
  <c r="AM421" i="2"/>
  <c r="AL421" i="2"/>
  <c r="AK421" i="2"/>
  <c r="AJ421" i="2"/>
  <c r="AI421" i="2"/>
  <c r="AH421" i="2"/>
  <c r="AR420" i="2"/>
  <c r="AQ420" i="2"/>
  <c r="AP420" i="2"/>
  <c r="AO420" i="2"/>
  <c r="AN420" i="2"/>
  <c r="AM420" i="2"/>
  <c r="AL420" i="2"/>
  <c r="AK420" i="2"/>
  <c r="AJ420" i="2"/>
  <c r="AI420" i="2"/>
  <c r="AH420" i="2"/>
  <c r="AR416" i="2"/>
  <c r="AQ416" i="2"/>
  <c r="AP416" i="2"/>
  <c r="AO416" i="2"/>
  <c r="AN416" i="2"/>
  <c r="AM416" i="2"/>
  <c r="AL416" i="2"/>
  <c r="AK416" i="2"/>
  <c r="AJ416" i="2"/>
  <c r="AI416" i="2"/>
  <c r="AH416" i="2"/>
  <c r="AR415" i="2"/>
  <c r="AQ415" i="2"/>
  <c r="AP415" i="2"/>
  <c r="AO415" i="2"/>
  <c r="AN415" i="2"/>
  <c r="AM415" i="2"/>
  <c r="AL415" i="2"/>
  <c r="AK415" i="2"/>
  <c r="AJ415" i="2"/>
  <c r="AI415" i="2"/>
  <c r="AH415" i="2"/>
  <c r="AR414" i="2"/>
  <c r="AQ414" i="2"/>
  <c r="AP414" i="2"/>
  <c r="AO414" i="2"/>
  <c r="AN414" i="2"/>
  <c r="AM414" i="2"/>
  <c r="AL414" i="2"/>
  <c r="AK414" i="2"/>
  <c r="AJ414" i="2"/>
  <c r="AI414" i="2"/>
  <c r="AH414" i="2"/>
  <c r="AR413" i="2"/>
  <c r="AQ413" i="2"/>
  <c r="AP413" i="2"/>
  <c r="AO413" i="2"/>
  <c r="AN413" i="2"/>
  <c r="AM413" i="2"/>
  <c r="AL413" i="2"/>
  <c r="AK413" i="2"/>
  <c r="AJ413" i="2"/>
  <c r="AI413" i="2"/>
  <c r="AH413" i="2"/>
  <c r="AR407" i="2"/>
  <c r="AQ407" i="2"/>
  <c r="AP407" i="2"/>
  <c r="AO407" i="2"/>
  <c r="AN407" i="2"/>
  <c r="AM407" i="2"/>
  <c r="AL407" i="2"/>
  <c r="AK407" i="2"/>
  <c r="AJ407" i="2"/>
  <c r="AI407" i="2"/>
  <c r="AH407" i="2"/>
  <c r="AR406" i="2"/>
  <c r="AQ406" i="2"/>
  <c r="AP406" i="2"/>
  <c r="AO406" i="2"/>
  <c r="AN406" i="2"/>
  <c r="AM406" i="2"/>
  <c r="AL406" i="2"/>
  <c r="AK406" i="2"/>
  <c r="AJ406" i="2"/>
  <c r="AI406" i="2"/>
  <c r="AH406" i="2"/>
  <c r="AR405" i="2"/>
  <c r="AQ405" i="2"/>
  <c r="AP405" i="2"/>
  <c r="AO405" i="2"/>
  <c r="AN405" i="2"/>
  <c r="AM405" i="2"/>
  <c r="AL405" i="2"/>
  <c r="AK405" i="2"/>
  <c r="AJ405" i="2"/>
  <c r="AI405" i="2"/>
  <c r="AH405" i="2"/>
  <c r="AR403" i="2"/>
  <c r="AQ403" i="2"/>
  <c r="AP403" i="2"/>
  <c r="AO403" i="2"/>
  <c r="AN403" i="2"/>
  <c r="AM403" i="2"/>
  <c r="AL403" i="2"/>
  <c r="AK403" i="2"/>
  <c r="AJ403" i="2"/>
  <c r="AI403" i="2"/>
  <c r="AH403" i="2"/>
  <c r="AR401" i="2"/>
  <c r="AQ401" i="2"/>
  <c r="AP401" i="2"/>
  <c r="AO401" i="2"/>
  <c r="AN401" i="2"/>
  <c r="AM401" i="2"/>
  <c r="AL401" i="2"/>
  <c r="AK401" i="2"/>
  <c r="AJ401" i="2"/>
  <c r="AI401" i="2"/>
  <c r="AH401" i="2"/>
  <c r="AR399" i="2"/>
  <c r="AQ399" i="2"/>
  <c r="AP399" i="2"/>
  <c r="AO399" i="2"/>
  <c r="AN399" i="2"/>
  <c r="AM399" i="2"/>
  <c r="AL399" i="2"/>
  <c r="AK399" i="2"/>
  <c r="AJ399" i="2"/>
  <c r="AI399" i="2"/>
  <c r="AH399" i="2"/>
  <c r="AR398" i="2"/>
  <c r="AQ398" i="2"/>
  <c r="AP398" i="2"/>
  <c r="AO398" i="2"/>
  <c r="AN398" i="2"/>
  <c r="AM398" i="2"/>
  <c r="AL398" i="2"/>
  <c r="AK398" i="2"/>
  <c r="AJ398" i="2"/>
  <c r="AI398" i="2"/>
  <c r="AH398" i="2"/>
  <c r="AR397" i="2"/>
  <c r="AQ397" i="2"/>
  <c r="AP397" i="2"/>
  <c r="AO397" i="2"/>
  <c r="AN397" i="2"/>
  <c r="AM397" i="2"/>
  <c r="AL397" i="2"/>
  <c r="AK397" i="2"/>
  <c r="AJ397" i="2"/>
  <c r="AI397" i="2"/>
  <c r="AH397" i="2"/>
  <c r="AR396" i="2"/>
  <c r="AQ396" i="2"/>
  <c r="AP396" i="2"/>
  <c r="AO396" i="2"/>
  <c r="AN396" i="2"/>
  <c r="AM396" i="2"/>
  <c r="AL396" i="2"/>
  <c r="AK396" i="2"/>
  <c r="AJ396" i="2"/>
  <c r="AI396" i="2"/>
  <c r="AH396" i="2"/>
  <c r="AR391" i="2"/>
  <c r="AQ391" i="2"/>
  <c r="AP391" i="2"/>
  <c r="AO391" i="2"/>
  <c r="AN391" i="2"/>
  <c r="AM391" i="2"/>
  <c r="AL391" i="2"/>
  <c r="AK391" i="2"/>
  <c r="AJ391" i="2"/>
  <c r="AI391" i="2"/>
  <c r="AH391" i="2"/>
  <c r="AR390" i="2"/>
  <c r="AQ390" i="2"/>
  <c r="AP390" i="2"/>
  <c r="AO390" i="2"/>
  <c r="AN390" i="2"/>
  <c r="AM390" i="2"/>
  <c r="AL390" i="2"/>
  <c r="AK390" i="2"/>
  <c r="AJ390" i="2"/>
  <c r="AI390" i="2"/>
  <c r="AH390" i="2"/>
  <c r="AR388" i="2"/>
  <c r="AQ388" i="2"/>
  <c r="AP388" i="2"/>
  <c r="AO388" i="2"/>
  <c r="AN388" i="2"/>
  <c r="AM388" i="2"/>
  <c r="AL388" i="2"/>
  <c r="AK388" i="2"/>
  <c r="AJ388" i="2"/>
  <c r="AI388" i="2"/>
  <c r="AH388" i="2"/>
  <c r="AR387" i="2"/>
  <c r="AQ387" i="2"/>
  <c r="AP387" i="2"/>
  <c r="AO387" i="2"/>
  <c r="AN387" i="2"/>
  <c r="AM387" i="2"/>
  <c r="AL387" i="2"/>
  <c r="AK387" i="2"/>
  <c r="AJ387" i="2"/>
  <c r="AI387" i="2"/>
  <c r="AH387" i="2"/>
  <c r="AR385" i="2"/>
  <c r="AQ385" i="2"/>
  <c r="AP385" i="2"/>
  <c r="AO385" i="2"/>
  <c r="AN385" i="2"/>
  <c r="AM385" i="2"/>
  <c r="AL385" i="2"/>
  <c r="AK385" i="2"/>
  <c r="AJ385" i="2"/>
  <c r="AI385" i="2"/>
  <c r="AH385" i="2"/>
  <c r="AR382" i="2"/>
  <c r="AQ382" i="2"/>
  <c r="AP382" i="2"/>
  <c r="AO382" i="2"/>
  <c r="AN382" i="2"/>
  <c r="AM382" i="2"/>
  <c r="AL382" i="2"/>
  <c r="AK382" i="2"/>
  <c r="AJ382" i="2"/>
  <c r="AI382" i="2"/>
  <c r="AH382" i="2"/>
  <c r="AR381" i="2"/>
  <c r="AQ381" i="2"/>
  <c r="AP381" i="2"/>
  <c r="AO381" i="2"/>
  <c r="AN381" i="2"/>
  <c r="AM381" i="2"/>
  <c r="AL381" i="2"/>
  <c r="AK381" i="2"/>
  <c r="AJ381" i="2"/>
  <c r="AI381" i="2"/>
  <c r="AH381" i="2"/>
  <c r="AR380" i="2"/>
  <c r="AQ380" i="2"/>
  <c r="AP380" i="2"/>
  <c r="AO380" i="2"/>
  <c r="AN380" i="2"/>
  <c r="AM380" i="2"/>
  <c r="AL380" i="2"/>
  <c r="AK380" i="2"/>
  <c r="AJ380" i="2"/>
  <c r="AI380" i="2"/>
  <c r="AH380" i="2"/>
  <c r="AR379" i="2"/>
  <c r="AQ379" i="2"/>
  <c r="AP379" i="2"/>
  <c r="AO379" i="2"/>
  <c r="AN379" i="2"/>
  <c r="AM379" i="2"/>
  <c r="AL379" i="2"/>
  <c r="AK379" i="2"/>
  <c r="AJ379" i="2"/>
  <c r="AI379" i="2"/>
  <c r="AH379" i="2"/>
  <c r="AR378" i="2"/>
  <c r="AQ378" i="2"/>
  <c r="AP378" i="2"/>
  <c r="AO378" i="2"/>
  <c r="AN378" i="2"/>
  <c r="AM378" i="2"/>
  <c r="AL378" i="2"/>
  <c r="AK378" i="2"/>
  <c r="AJ378" i="2"/>
  <c r="AI378" i="2"/>
  <c r="AH378" i="2"/>
  <c r="AR377" i="2"/>
  <c r="AQ377" i="2"/>
  <c r="AP377" i="2"/>
  <c r="AO377" i="2"/>
  <c r="AN377" i="2"/>
  <c r="AM377" i="2"/>
  <c r="AL377" i="2"/>
  <c r="AK377" i="2"/>
  <c r="AJ377" i="2"/>
  <c r="AI377" i="2"/>
  <c r="AH377" i="2"/>
  <c r="AR376" i="2"/>
  <c r="AQ376" i="2"/>
  <c r="AP376" i="2"/>
  <c r="AO376" i="2"/>
  <c r="AN376" i="2"/>
  <c r="AM376" i="2"/>
  <c r="AL376" i="2"/>
  <c r="AK376" i="2"/>
  <c r="AJ376" i="2"/>
  <c r="AI376" i="2"/>
  <c r="AH376" i="2"/>
  <c r="AR374" i="2"/>
  <c r="AQ374" i="2"/>
  <c r="AP374" i="2"/>
  <c r="AO374" i="2"/>
  <c r="AN374" i="2"/>
  <c r="AM374" i="2"/>
  <c r="AL374" i="2"/>
  <c r="AK374" i="2"/>
  <c r="AJ374" i="2"/>
  <c r="AI374" i="2"/>
  <c r="AH374" i="2"/>
  <c r="AR375" i="2"/>
  <c r="AQ375" i="2"/>
  <c r="AP375" i="2"/>
  <c r="AO375" i="2"/>
  <c r="AN375" i="2"/>
  <c r="AM375" i="2"/>
  <c r="AL375" i="2"/>
  <c r="AK375" i="2"/>
  <c r="AJ375" i="2"/>
  <c r="AI375" i="2"/>
  <c r="AH375" i="2"/>
  <c r="AR372" i="2"/>
  <c r="AQ372" i="2"/>
  <c r="AP372" i="2"/>
  <c r="AO372" i="2"/>
  <c r="AN372" i="2"/>
  <c r="AM372" i="2"/>
  <c r="AL372" i="2"/>
  <c r="AK372" i="2"/>
  <c r="AJ372" i="2"/>
  <c r="AI372" i="2"/>
  <c r="AH372" i="2"/>
  <c r="AR371" i="2"/>
  <c r="AQ371" i="2"/>
  <c r="AP371" i="2"/>
  <c r="AO371" i="2"/>
  <c r="AN371" i="2"/>
  <c r="AM371" i="2"/>
  <c r="AL371" i="2"/>
  <c r="AK371" i="2"/>
  <c r="AJ371" i="2"/>
  <c r="AI371" i="2"/>
  <c r="AH371" i="2"/>
  <c r="AR370" i="2"/>
  <c r="AQ370" i="2"/>
  <c r="AP370" i="2"/>
  <c r="AO370" i="2"/>
  <c r="AN370" i="2"/>
  <c r="AM370" i="2"/>
  <c r="AL370" i="2"/>
  <c r="AK370" i="2"/>
  <c r="AJ370" i="2"/>
  <c r="AI370" i="2"/>
  <c r="AH370" i="2"/>
  <c r="AR368" i="2"/>
  <c r="AQ368" i="2"/>
  <c r="AP368" i="2"/>
  <c r="AO368" i="2"/>
  <c r="AN368" i="2"/>
  <c r="AM368" i="2"/>
  <c r="AL368" i="2"/>
  <c r="AK368" i="2"/>
  <c r="AJ368" i="2"/>
  <c r="AI368" i="2"/>
  <c r="AH368" i="2"/>
  <c r="AR367" i="2"/>
  <c r="AQ367" i="2"/>
  <c r="AP367" i="2"/>
  <c r="AO367" i="2"/>
  <c r="AN367" i="2"/>
  <c r="AM367" i="2"/>
  <c r="AL367" i="2"/>
  <c r="AK367" i="2"/>
  <c r="AJ367" i="2"/>
  <c r="AI367" i="2"/>
  <c r="AH367" i="2"/>
  <c r="AR366" i="2"/>
  <c r="AQ366" i="2"/>
  <c r="AP366" i="2"/>
  <c r="AO366" i="2"/>
  <c r="AN366" i="2"/>
  <c r="AM366" i="2"/>
  <c r="AL366" i="2"/>
  <c r="AK366" i="2"/>
  <c r="AJ366" i="2"/>
  <c r="AI366" i="2"/>
  <c r="AH366" i="2"/>
  <c r="AR360" i="2"/>
  <c r="AQ360" i="2"/>
  <c r="AP360" i="2"/>
  <c r="AO360" i="2"/>
  <c r="AN360" i="2"/>
  <c r="AM360" i="2"/>
  <c r="AL360" i="2"/>
  <c r="AK360" i="2"/>
  <c r="AJ360" i="2"/>
  <c r="AI360" i="2"/>
  <c r="AH360" i="2"/>
  <c r="AR359" i="2"/>
  <c r="AQ359" i="2"/>
  <c r="AP359" i="2"/>
  <c r="AO359" i="2"/>
  <c r="AN359" i="2"/>
  <c r="AM359" i="2"/>
  <c r="AL359" i="2"/>
  <c r="AK359" i="2"/>
  <c r="AJ359" i="2"/>
  <c r="AI359" i="2"/>
  <c r="AH359" i="2"/>
  <c r="AR358" i="2"/>
  <c r="AQ358" i="2"/>
  <c r="AP358" i="2"/>
  <c r="AO358" i="2"/>
  <c r="AN358" i="2"/>
  <c r="AM358" i="2"/>
  <c r="AL358" i="2"/>
  <c r="AK358" i="2"/>
  <c r="AJ358" i="2"/>
  <c r="AI358" i="2"/>
  <c r="AH358" i="2"/>
  <c r="AR352" i="2"/>
  <c r="AQ352" i="2"/>
  <c r="AP352" i="2"/>
  <c r="AO352" i="2"/>
  <c r="AN352" i="2"/>
  <c r="AM352" i="2"/>
  <c r="AL352" i="2"/>
  <c r="AK352" i="2"/>
  <c r="AJ352" i="2"/>
  <c r="AI352" i="2"/>
  <c r="AH352" i="2"/>
  <c r="AR351" i="2"/>
  <c r="AQ351" i="2"/>
  <c r="AP351" i="2"/>
  <c r="AO351" i="2"/>
  <c r="AN351" i="2"/>
  <c r="AM351" i="2"/>
  <c r="AL351" i="2"/>
  <c r="AK351" i="2"/>
  <c r="AJ351" i="2"/>
  <c r="AI351" i="2"/>
  <c r="AH351" i="2"/>
  <c r="AR350" i="2"/>
  <c r="AQ350" i="2"/>
  <c r="AP350" i="2"/>
  <c r="AO350" i="2"/>
  <c r="AN350" i="2"/>
  <c r="AM350" i="2"/>
  <c r="AL350" i="2"/>
  <c r="AK350" i="2"/>
  <c r="AJ350" i="2"/>
  <c r="AI350" i="2"/>
  <c r="AH350" i="2"/>
  <c r="AR348" i="2"/>
  <c r="AQ348" i="2"/>
  <c r="AP348" i="2"/>
  <c r="AO348" i="2"/>
  <c r="AN348" i="2"/>
  <c r="AM348" i="2"/>
  <c r="AL348" i="2"/>
  <c r="AK348" i="2"/>
  <c r="AJ348" i="2"/>
  <c r="AI348" i="2"/>
  <c r="AH348" i="2"/>
  <c r="AR345" i="2"/>
  <c r="AQ345" i="2"/>
  <c r="AP345" i="2"/>
  <c r="AO345" i="2"/>
  <c r="AN345" i="2"/>
  <c r="AM345" i="2"/>
  <c r="AL345" i="2"/>
  <c r="AK345" i="2"/>
  <c r="AJ345" i="2"/>
  <c r="AI345" i="2"/>
  <c r="AH345" i="2"/>
  <c r="AR343" i="2"/>
  <c r="AQ343" i="2"/>
  <c r="AP343" i="2"/>
  <c r="AO343" i="2"/>
  <c r="AN343" i="2"/>
  <c r="AM343" i="2"/>
  <c r="AL343" i="2"/>
  <c r="AK343" i="2"/>
  <c r="AJ343" i="2"/>
  <c r="AI343" i="2"/>
  <c r="AH343" i="2"/>
  <c r="AR341" i="2"/>
  <c r="AQ341" i="2"/>
  <c r="AP341" i="2"/>
  <c r="AO341" i="2"/>
  <c r="AN341" i="2"/>
  <c r="AM341" i="2"/>
  <c r="AL341" i="2"/>
  <c r="AK341" i="2"/>
  <c r="AJ341" i="2"/>
  <c r="AI341" i="2"/>
  <c r="AH341" i="2"/>
  <c r="AR340" i="2"/>
  <c r="AQ340" i="2"/>
  <c r="AP340" i="2"/>
  <c r="AO340" i="2"/>
  <c r="AN340" i="2"/>
  <c r="AM340" i="2"/>
  <c r="AL340" i="2"/>
  <c r="AK340" i="2"/>
  <c r="AJ340" i="2"/>
  <c r="AI340" i="2"/>
  <c r="AH340" i="2"/>
  <c r="AR339" i="2"/>
  <c r="AQ339" i="2"/>
  <c r="AP339" i="2"/>
  <c r="AO339" i="2"/>
  <c r="AN339" i="2"/>
  <c r="AM339" i="2"/>
  <c r="AL339" i="2"/>
  <c r="AK339" i="2"/>
  <c r="AJ339" i="2"/>
  <c r="AI339" i="2"/>
  <c r="AH339" i="2"/>
  <c r="AR338" i="2"/>
  <c r="AQ338" i="2"/>
  <c r="AP338" i="2"/>
  <c r="AO338" i="2"/>
  <c r="AN338" i="2"/>
  <c r="AM338" i="2"/>
  <c r="AL338" i="2"/>
  <c r="AK338" i="2"/>
  <c r="AJ338" i="2"/>
  <c r="AI338" i="2"/>
  <c r="AH338" i="2"/>
  <c r="AR336" i="2"/>
  <c r="AQ336" i="2"/>
  <c r="AP336" i="2"/>
  <c r="AO336" i="2"/>
  <c r="AN336" i="2"/>
  <c r="AM336" i="2"/>
  <c r="AL336" i="2"/>
  <c r="AK336" i="2"/>
  <c r="AJ336" i="2"/>
  <c r="AI336" i="2"/>
  <c r="AH336" i="2"/>
  <c r="AR335" i="2"/>
  <c r="AQ335" i="2"/>
  <c r="AP335" i="2"/>
  <c r="AO335" i="2"/>
  <c r="AN335" i="2"/>
  <c r="AM335" i="2"/>
  <c r="AL335" i="2"/>
  <c r="AK335" i="2"/>
  <c r="AJ335" i="2"/>
  <c r="AI335" i="2"/>
  <c r="AH335" i="2"/>
  <c r="AR333" i="2"/>
  <c r="AQ333" i="2"/>
  <c r="AP333" i="2"/>
  <c r="AO333" i="2"/>
  <c r="AN333" i="2"/>
  <c r="AM333" i="2"/>
  <c r="AL333" i="2"/>
  <c r="AK333" i="2"/>
  <c r="AJ333" i="2"/>
  <c r="AI333" i="2"/>
  <c r="AH333" i="2"/>
  <c r="AR332" i="2"/>
  <c r="AQ332" i="2"/>
  <c r="AP332" i="2"/>
  <c r="AO332" i="2"/>
  <c r="AN332" i="2"/>
  <c r="AM332" i="2"/>
  <c r="AL332" i="2"/>
  <c r="AK332" i="2"/>
  <c r="AJ332" i="2"/>
  <c r="AI332" i="2"/>
  <c r="AH332" i="2"/>
  <c r="AR331" i="2"/>
  <c r="AQ331" i="2"/>
  <c r="AP331" i="2"/>
  <c r="AO331" i="2"/>
  <c r="AN331" i="2"/>
  <c r="AM331" i="2"/>
  <c r="AL331" i="2"/>
  <c r="AK331" i="2"/>
  <c r="AJ331" i="2"/>
  <c r="AI331" i="2"/>
  <c r="AH331" i="2"/>
  <c r="AR328" i="2"/>
  <c r="AQ328" i="2"/>
  <c r="AP328" i="2"/>
  <c r="AO328" i="2"/>
  <c r="AN328" i="2"/>
  <c r="AM328" i="2"/>
  <c r="AL328" i="2"/>
  <c r="AK328" i="2"/>
  <c r="AJ328" i="2"/>
  <c r="AI328" i="2"/>
  <c r="AH328" i="2"/>
  <c r="AR327" i="2"/>
  <c r="AQ327" i="2"/>
  <c r="AP327" i="2"/>
  <c r="AO327" i="2"/>
  <c r="AN327" i="2"/>
  <c r="AM327" i="2"/>
  <c r="AL327" i="2"/>
  <c r="AK327" i="2"/>
  <c r="AJ327" i="2"/>
  <c r="AI327" i="2"/>
  <c r="AH327" i="2"/>
  <c r="AR326" i="2"/>
  <c r="AQ326" i="2"/>
  <c r="AP326" i="2"/>
  <c r="AO326" i="2"/>
  <c r="AN326" i="2"/>
  <c r="AM326" i="2"/>
  <c r="AL326" i="2"/>
  <c r="AK326" i="2"/>
  <c r="AJ326" i="2"/>
  <c r="AI326" i="2"/>
  <c r="AH326" i="2"/>
  <c r="AR325" i="2"/>
  <c r="AQ325" i="2"/>
  <c r="AP325" i="2"/>
  <c r="AO325" i="2"/>
  <c r="AN325" i="2"/>
  <c r="AM325" i="2"/>
  <c r="AL325" i="2"/>
  <c r="AK325" i="2"/>
  <c r="AJ325" i="2"/>
  <c r="AI325" i="2"/>
  <c r="AH325" i="2"/>
  <c r="AR324" i="2"/>
  <c r="AQ324" i="2"/>
  <c r="AP324" i="2"/>
  <c r="AO324" i="2"/>
  <c r="AN324" i="2"/>
  <c r="AM324" i="2"/>
  <c r="AL324" i="2"/>
  <c r="AK324" i="2"/>
  <c r="AJ324" i="2"/>
  <c r="AI324" i="2"/>
  <c r="AH324" i="2"/>
  <c r="AR323" i="2"/>
  <c r="AQ323" i="2"/>
  <c r="AP323" i="2"/>
  <c r="AO323" i="2"/>
  <c r="AN323" i="2"/>
  <c r="AM323" i="2"/>
  <c r="AL323" i="2"/>
  <c r="AK323" i="2"/>
  <c r="AJ323" i="2"/>
  <c r="AI323" i="2"/>
  <c r="AH323" i="2"/>
  <c r="AR321" i="2"/>
  <c r="AQ321" i="2"/>
  <c r="AP321" i="2"/>
  <c r="AO321" i="2"/>
  <c r="AN321" i="2"/>
  <c r="AM321" i="2"/>
  <c r="AL321" i="2"/>
  <c r="AK321" i="2"/>
  <c r="AJ321" i="2"/>
  <c r="AI321" i="2"/>
  <c r="AH321" i="2"/>
  <c r="AR319" i="2"/>
  <c r="AQ319" i="2"/>
  <c r="AP319" i="2"/>
  <c r="AO319" i="2"/>
  <c r="AN319" i="2"/>
  <c r="AM319" i="2"/>
  <c r="AL319" i="2"/>
  <c r="AK319" i="2"/>
  <c r="AJ319" i="2"/>
  <c r="AI319" i="2"/>
  <c r="AH319" i="2"/>
  <c r="AR317" i="2"/>
  <c r="AQ317" i="2"/>
  <c r="AP317" i="2"/>
  <c r="AO317" i="2"/>
  <c r="AN317" i="2"/>
  <c r="AM317" i="2"/>
  <c r="AL317" i="2"/>
  <c r="AK317" i="2"/>
  <c r="AJ317" i="2"/>
  <c r="AI317" i="2"/>
  <c r="AH317" i="2"/>
  <c r="AR318" i="2"/>
  <c r="AQ318" i="2"/>
  <c r="AP318" i="2"/>
  <c r="AO318" i="2"/>
  <c r="AN318" i="2"/>
  <c r="AM318" i="2"/>
  <c r="AL318" i="2"/>
  <c r="AK318" i="2"/>
  <c r="AJ318" i="2"/>
  <c r="AI318" i="2"/>
  <c r="AH318" i="2"/>
  <c r="AR314" i="2"/>
  <c r="AQ314" i="2"/>
  <c r="AP314" i="2"/>
  <c r="AO314" i="2"/>
  <c r="AN314" i="2"/>
  <c r="AM314" i="2"/>
  <c r="AL314" i="2"/>
  <c r="AK314" i="2"/>
  <c r="AJ314" i="2"/>
  <c r="AI314" i="2"/>
  <c r="AH314" i="2"/>
  <c r="AR316" i="2"/>
  <c r="AQ316" i="2"/>
  <c r="AP316" i="2"/>
  <c r="AO316" i="2"/>
  <c r="AN316" i="2"/>
  <c r="AM316" i="2"/>
  <c r="AL316" i="2"/>
  <c r="AK316" i="2"/>
  <c r="AJ316" i="2"/>
  <c r="AI316" i="2"/>
  <c r="AH316" i="2"/>
  <c r="AR315" i="2"/>
  <c r="AQ315" i="2"/>
  <c r="AP315" i="2"/>
  <c r="AO315" i="2"/>
  <c r="AN315" i="2"/>
  <c r="AM315" i="2"/>
  <c r="AL315" i="2"/>
  <c r="AK315" i="2"/>
  <c r="AJ315" i="2"/>
  <c r="AI315" i="2"/>
  <c r="AH315" i="2"/>
  <c r="AR312" i="2"/>
  <c r="AQ312" i="2"/>
  <c r="AP312" i="2"/>
  <c r="AO312" i="2"/>
  <c r="AN312" i="2"/>
  <c r="AM312" i="2"/>
  <c r="AL312" i="2"/>
  <c r="AK312" i="2"/>
  <c r="AJ312" i="2"/>
  <c r="AI312" i="2"/>
  <c r="AH312" i="2"/>
  <c r="AR310" i="2"/>
  <c r="AQ310" i="2"/>
  <c r="AP310" i="2"/>
  <c r="AO310" i="2"/>
  <c r="AN310" i="2"/>
  <c r="AM310" i="2"/>
  <c r="AL310" i="2"/>
  <c r="AK310" i="2"/>
  <c r="AJ310" i="2"/>
  <c r="AI310" i="2"/>
  <c r="AH310" i="2"/>
  <c r="AR309" i="2"/>
  <c r="AQ309" i="2"/>
  <c r="AP309" i="2"/>
  <c r="AO309" i="2"/>
  <c r="AN309" i="2"/>
  <c r="AM309" i="2"/>
  <c r="AL309" i="2"/>
  <c r="AK309" i="2"/>
  <c r="AJ309" i="2"/>
  <c r="AI309" i="2"/>
  <c r="AH309" i="2"/>
  <c r="AR307" i="2"/>
  <c r="AQ307" i="2"/>
  <c r="AP307" i="2"/>
  <c r="AO307" i="2"/>
  <c r="AN307" i="2"/>
  <c r="AM307" i="2"/>
  <c r="AL307" i="2"/>
  <c r="AK307" i="2"/>
  <c r="AJ307" i="2"/>
  <c r="AI307" i="2"/>
  <c r="AH307" i="2"/>
  <c r="AR306" i="2"/>
  <c r="AQ306" i="2"/>
  <c r="AP306" i="2"/>
  <c r="AO306" i="2"/>
  <c r="AN306" i="2"/>
  <c r="AM306" i="2"/>
  <c r="AL306" i="2"/>
  <c r="AK306" i="2"/>
  <c r="AJ306" i="2"/>
  <c r="AI306" i="2"/>
  <c r="AH306" i="2"/>
  <c r="AR304" i="2"/>
  <c r="AQ304" i="2"/>
  <c r="AP304" i="2"/>
  <c r="AO304" i="2"/>
  <c r="AN304" i="2"/>
  <c r="AM304" i="2"/>
  <c r="AL304" i="2"/>
  <c r="AK304" i="2"/>
  <c r="AJ304" i="2"/>
  <c r="AI304" i="2"/>
  <c r="AH304" i="2"/>
  <c r="AR303" i="2"/>
  <c r="AQ303" i="2"/>
  <c r="AP303" i="2"/>
  <c r="AO303" i="2"/>
  <c r="AN303" i="2"/>
  <c r="AM303" i="2"/>
  <c r="AL303" i="2"/>
  <c r="AK303" i="2"/>
  <c r="AJ303" i="2"/>
  <c r="AI303" i="2"/>
  <c r="AH303" i="2"/>
  <c r="AR302" i="2"/>
  <c r="AQ302" i="2"/>
  <c r="AP302" i="2"/>
  <c r="AO302" i="2"/>
  <c r="AN302" i="2"/>
  <c r="AM302" i="2"/>
  <c r="AL302" i="2"/>
  <c r="AK302" i="2"/>
  <c r="AJ302" i="2"/>
  <c r="AI302" i="2"/>
  <c r="AH302" i="2"/>
  <c r="AR300" i="2"/>
  <c r="AQ300" i="2"/>
  <c r="AP300" i="2"/>
  <c r="AO300" i="2"/>
  <c r="AN300" i="2"/>
  <c r="AM300" i="2"/>
  <c r="AL300" i="2"/>
  <c r="AK300" i="2"/>
  <c r="AJ300" i="2"/>
  <c r="AI300" i="2"/>
  <c r="AH300" i="2"/>
  <c r="AR299" i="2"/>
  <c r="AQ299" i="2"/>
  <c r="AP299" i="2"/>
  <c r="AO299" i="2"/>
  <c r="AN299" i="2"/>
  <c r="AM299" i="2"/>
  <c r="AL299" i="2"/>
  <c r="AK299" i="2"/>
  <c r="AJ299" i="2"/>
  <c r="AI299" i="2"/>
  <c r="AH299" i="2"/>
  <c r="AR298" i="2"/>
  <c r="AQ298" i="2"/>
  <c r="AP298" i="2"/>
  <c r="AO298" i="2"/>
  <c r="AN298" i="2"/>
  <c r="AM298" i="2"/>
  <c r="AL298" i="2"/>
  <c r="AK298" i="2"/>
  <c r="AJ298" i="2"/>
  <c r="AI298" i="2"/>
  <c r="AH298" i="2"/>
  <c r="AR297" i="2"/>
  <c r="AQ297" i="2"/>
  <c r="AP297" i="2"/>
  <c r="AO297" i="2"/>
  <c r="AN297" i="2"/>
  <c r="AM297" i="2"/>
  <c r="AL297" i="2"/>
  <c r="AK297" i="2"/>
  <c r="AJ297" i="2"/>
  <c r="AI297" i="2"/>
  <c r="AH297" i="2"/>
  <c r="AR296" i="2"/>
  <c r="AQ296" i="2"/>
  <c r="AP296" i="2"/>
  <c r="AO296" i="2"/>
  <c r="AN296" i="2"/>
  <c r="AM296" i="2"/>
  <c r="AL296" i="2"/>
  <c r="AK296" i="2"/>
  <c r="AJ296" i="2"/>
  <c r="AI296" i="2"/>
  <c r="AH296" i="2"/>
  <c r="AR294" i="2"/>
  <c r="AQ294" i="2"/>
  <c r="AP294" i="2"/>
  <c r="AO294" i="2"/>
  <c r="AN294" i="2"/>
  <c r="AM294" i="2"/>
  <c r="AL294" i="2"/>
  <c r="AK294" i="2"/>
  <c r="AJ294" i="2"/>
  <c r="AI294" i="2"/>
  <c r="AH294" i="2"/>
  <c r="AR293" i="2"/>
  <c r="AQ293" i="2"/>
  <c r="AP293" i="2"/>
  <c r="AO293" i="2"/>
  <c r="AN293" i="2"/>
  <c r="AM293" i="2"/>
  <c r="AL293" i="2"/>
  <c r="AK293" i="2"/>
  <c r="AJ293" i="2"/>
  <c r="AI293" i="2"/>
  <c r="AH293" i="2"/>
  <c r="AR291" i="2"/>
  <c r="AQ291" i="2"/>
  <c r="AP291" i="2"/>
  <c r="AO291" i="2"/>
  <c r="AN291" i="2"/>
  <c r="AM291" i="2"/>
  <c r="AL291" i="2"/>
  <c r="AK291" i="2"/>
  <c r="AJ291" i="2"/>
  <c r="AI291" i="2"/>
  <c r="AH291" i="2"/>
  <c r="AR290" i="2"/>
  <c r="AQ290" i="2"/>
  <c r="AP290" i="2"/>
  <c r="AO290" i="2"/>
  <c r="AN290" i="2"/>
  <c r="AM290" i="2"/>
  <c r="AL290" i="2"/>
  <c r="AK290" i="2"/>
  <c r="AJ290" i="2"/>
  <c r="AI290" i="2"/>
  <c r="AH290" i="2"/>
  <c r="AR289" i="2"/>
  <c r="AQ289" i="2"/>
  <c r="AP289" i="2"/>
  <c r="AO289" i="2"/>
  <c r="AN289" i="2"/>
  <c r="AM289" i="2"/>
  <c r="AL289" i="2"/>
  <c r="AK289" i="2"/>
  <c r="AJ289" i="2"/>
  <c r="AI289" i="2"/>
  <c r="AH289" i="2"/>
  <c r="AR288" i="2"/>
  <c r="AQ288" i="2"/>
  <c r="AP288" i="2"/>
  <c r="AO288" i="2"/>
  <c r="AN288" i="2"/>
  <c r="AM288" i="2"/>
  <c r="AL288" i="2"/>
  <c r="AK288" i="2"/>
  <c r="AJ288" i="2"/>
  <c r="AI288" i="2"/>
  <c r="AH288" i="2"/>
  <c r="AR287" i="2"/>
  <c r="AQ287" i="2"/>
  <c r="AP287" i="2"/>
  <c r="AO287" i="2"/>
  <c r="AN287" i="2"/>
  <c r="AM287" i="2"/>
  <c r="AL287" i="2"/>
  <c r="AK287" i="2"/>
  <c r="AJ287" i="2"/>
  <c r="AI287" i="2"/>
  <c r="AH287" i="2"/>
  <c r="AR286" i="2"/>
  <c r="AQ286" i="2"/>
  <c r="AP286" i="2"/>
  <c r="AO286" i="2"/>
  <c r="AN286" i="2"/>
  <c r="AM286" i="2"/>
  <c r="AL286" i="2"/>
  <c r="AK286" i="2"/>
  <c r="AJ286" i="2"/>
  <c r="AI286" i="2"/>
  <c r="AH286" i="2"/>
  <c r="AR285" i="2"/>
  <c r="AQ285" i="2"/>
  <c r="AP285" i="2"/>
  <c r="AO285" i="2"/>
  <c r="AN285" i="2"/>
  <c r="AM285" i="2"/>
  <c r="AL285" i="2"/>
  <c r="AK285" i="2"/>
  <c r="AJ285" i="2"/>
  <c r="AI285" i="2"/>
  <c r="AH285" i="2"/>
  <c r="AR284" i="2"/>
  <c r="AQ284" i="2"/>
  <c r="AP284" i="2"/>
  <c r="AO284" i="2"/>
  <c r="AN284" i="2"/>
  <c r="AM284" i="2"/>
  <c r="AL284" i="2"/>
  <c r="AK284" i="2"/>
  <c r="AJ284" i="2"/>
  <c r="AI284" i="2"/>
  <c r="AH284" i="2"/>
  <c r="AR283" i="2"/>
  <c r="AQ283" i="2"/>
  <c r="AP283" i="2"/>
  <c r="AO283" i="2"/>
  <c r="AN283" i="2"/>
  <c r="AM283" i="2"/>
  <c r="AL283" i="2"/>
  <c r="AK283" i="2"/>
  <c r="AJ283" i="2"/>
  <c r="AI283" i="2"/>
  <c r="AH283" i="2"/>
  <c r="AR279" i="2"/>
  <c r="AQ279" i="2"/>
  <c r="AP279" i="2"/>
  <c r="AO279" i="2"/>
  <c r="AN279" i="2"/>
  <c r="AM279" i="2"/>
  <c r="AL279" i="2"/>
  <c r="AK279" i="2"/>
  <c r="AJ279" i="2"/>
  <c r="AI279" i="2"/>
  <c r="AH279" i="2"/>
  <c r="AR278" i="2"/>
  <c r="AQ278" i="2"/>
  <c r="AP278" i="2"/>
  <c r="AO278" i="2"/>
  <c r="AN278" i="2"/>
  <c r="AM278" i="2"/>
  <c r="AL278" i="2"/>
  <c r="AK278" i="2"/>
  <c r="AJ278" i="2"/>
  <c r="AI278" i="2"/>
  <c r="AH278" i="2"/>
  <c r="AR277" i="2"/>
  <c r="AQ277" i="2"/>
  <c r="AP277" i="2"/>
  <c r="AO277" i="2"/>
  <c r="AN277" i="2"/>
  <c r="AM277" i="2"/>
  <c r="AL277" i="2"/>
  <c r="AK277" i="2"/>
  <c r="AI277" i="2"/>
  <c r="AT599" i="2" l="1"/>
  <c r="AT580" i="2"/>
  <c r="AT491" i="2"/>
  <c r="AT556" i="2"/>
  <c r="AT538" i="2"/>
  <c r="AT422" i="2"/>
  <c r="AT511" i="2"/>
  <c r="AT442" i="2"/>
  <c r="AT490" i="2"/>
  <c r="AT379" i="2"/>
  <c r="AT397" i="2"/>
  <c r="AT547" i="2"/>
  <c r="AT314" i="2"/>
  <c r="AT396" i="2"/>
  <c r="AT576" i="2"/>
  <c r="AT293" i="2"/>
  <c r="AT565" i="2"/>
  <c r="AT324" i="2"/>
  <c r="AT286" i="2"/>
  <c r="AT372" i="2"/>
  <c r="AT548" i="2"/>
  <c r="AT583" i="2"/>
  <c r="AT600" i="2"/>
  <c r="AT438" i="2"/>
  <c r="AT534" i="2"/>
  <c r="AT475" i="2"/>
  <c r="AT557" i="2"/>
  <c r="AT302" i="2"/>
  <c r="AT406" i="2"/>
  <c r="AT376" i="2"/>
  <c r="AT279" i="2"/>
  <c r="AT371" i="2"/>
  <c r="AT520" i="2"/>
  <c r="AT596" i="2"/>
  <c r="AT522" i="2"/>
  <c r="AT578" i="2"/>
  <c r="AT367" i="2"/>
  <c r="AT444" i="2"/>
  <c r="AT458" i="2"/>
  <c r="AT469" i="2"/>
  <c r="AT563" i="2"/>
  <c r="AT331" i="2"/>
  <c r="AT473" i="2"/>
  <c r="AT332" i="2"/>
  <c r="AT527" i="2"/>
  <c r="AT407" i="2"/>
  <c r="AT582" i="2"/>
  <c r="AT441" i="2"/>
  <c r="AT366" i="2"/>
  <c r="AT414" i="2"/>
  <c r="AT382" i="2"/>
  <c r="AT398" i="2"/>
  <c r="AT415" i="2"/>
  <c r="AT434" i="2"/>
  <c r="AT549" i="2"/>
  <c r="AT542" i="2"/>
  <c r="AT499" i="2"/>
  <c r="AT348" i="2"/>
  <c r="AT496" i="2"/>
  <c r="AT457" i="2"/>
  <c r="AT338" i="2"/>
  <c r="AT480" i="2"/>
  <c r="AT461" i="2"/>
  <c r="AT544" i="2"/>
  <c r="AT303" i="2"/>
  <c r="AT429" i="2"/>
  <c r="AT495" i="2"/>
  <c r="AT581" i="2"/>
  <c r="AT592" i="2"/>
  <c r="AT321" i="2"/>
  <c r="AT300" i="2"/>
  <c r="AT587" i="2"/>
  <c r="AT500" i="2"/>
  <c r="AT296" i="2"/>
  <c r="AT385" i="2"/>
  <c r="AT416" i="2"/>
  <c r="AT307" i="2"/>
  <c r="AS396" i="2"/>
  <c r="AT543" i="2"/>
  <c r="AT595" i="2"/>
  <c r="AT501" i="2"/>
  <c r="AT308" i="2"/>
  <c r="AT476" i="2"/>
  <c r="AT368" i="2"/>
  <c r="AT316" i="2"/>
  <c r="AT325" i="2"/>
  <c r="AT426" i="2"/>
  <c r="AT483" i="2"/>
  <c r="AT487" i="2"/>
  <c r="AT350" i="2"/>
  <c r="AT370" i="2"/>
  <c r="AT493" i="2"/>
  <c r="AT443" i="2"/>
  <c r="AT589" i="2"/>
  <c r="AT288" i="2"/>
  <c r="AT378" i="2"/>
  <c r="AT539" i="2"/>
  <c r="AT560" i="2"/>
  <c r="AT318" i="2"/>
  <c r="AT339" i="2"/>
  <c r="AT489" i="2"/>
  <c r="AT590" i="2"/>
  <c r="AT466" i="2"/>
  <c r="AT294" i="2"/>
  <c r="AT304" i="2"/>
  <c r="AT317" i="2"/>
  <c r="AT328" i="2"/>
  <c r="AS577" i="2"/>
  <c r="AS393" i="2"/>
  <c r="AS450" i="2"/>
  <c r="AT351" i="2"/>
  <c r="AT430" i="2"/>
  <c r="AT555" i="2"/>
  <c r="AT551" i="2"/>
  <c r="AT503" i="2"/>
  <c r="AT310" i="2"/>
  <c r="AT283" i="2"/>
  <c r="AT291" i="2"/>
  <c r="AT343" i="2"/>
  <c r="AT380" i="2"/>
  <c r="AT464" i="2"/>
  <c r="AS543" i="2"/>
  <c r="AT553" i="2"/>
  <c r="AT566" i="2"/>
  <c r="AS293" i="2"/>
  <c r="AT298" i="2"/>
  <c r="AT309" i="2"/>
  <c r="AT289" i="2"/>
  <c r="AT358" i="2"/>
  <c r="AT546" i="2"/>
  <c r="AT341" i="2"/>
  <c r="AS328" i="2"/>
  <c r="AT333" i="2"/>
  <c r="AS370" i="2"/>
  <c r="AT375" i="2"/>
  <c r="AT492" i="2"/>
  <c r="AT486" i="2"/>
  <c r="AT516" i="2"/>
  <c r="AT579" i="2"/>
  <c r="AT593" i="2"/>
  <c r="AS563" i="2"/>
  <c r="AT494" i="2"/>
  <c r="AT297" i="2"/>
  <c r="AS302" i="2"/>
  <c r="AS406" i="2"/>
  <c r="AS557" i="2"/>
  <c r="AT575" i="2"/>
  <c r="AT401" i="2"/>
  <c r="AT456" i="2"/>
  <c r="AT478" i="2"/>
  <c r="AT545" i="2"/>
  <c r="AS277" i="2"/>
  <c r="AT425" i="2"/>
  <c r="AS479" i="2"/>
  <c r="AT554" i="2"/>
  <c r="AS590" i="2"/>
  <c r="AS560" i="2"/>
  <c r="AT535" i="2"/>
  <c r="AT387" i="2"/>
  <c r="AT399" i="2"/>
  <c r="AT278" i="2"/>
  <c r="AT388" i="2"/>
  <c r="AS382" i="2"/>
  <c r="AT420" i="2"/>
  <c r="AT393" i="2"/>
  <c r="AT450" i="2"/>
  <c r="AS286" i="2"/>
  <c r="AT312" i="2"/>
  <c r="AT460" i="2"/>
  <c r="AS548" i="2"/>
  <c r="AS321" i="2"/>
  <c r="AS433" i="2"/>
  <c r="AS583" i="2"/>
  <c r="AT588" i="2"/>
  <c r="AT537" i="2"/>
  <c r="AS294" i="2"/>
  <c r="AT391" i="2"/>
  <c r="AS300" i="2"/>
  <c r="AS405" i="2"/>
  <c r="AT290" i="2"/>
  <c r="AT284" i="2"/>
  <c r="AS288" i="2"/>
  <c r="AS338" i="2"/>
  <c r="AS350" i="2"/>
  <c r="AS385" i="2"/>
  <c r="AT345" i="2"/>
  <c r="AS377" i="2"/>
  <c r="AS398" i="2"/>
  <c r="AT481" i="2"/>
  <c r="AT299" i="2"/>
  <c r="AS366" i="2"/>
  <c r="AS287" i="2"/>
  <c r="AT359" i="2"/>
  <c r="AS397" i="2"/>
  <c r="AT335" i="2"/>
  <c r="AS339" i="2"/>
  <c r="AS299" i="2"/>
  <c r="AS309" i="2"/>
  <c r="AT326" i="2"/>
  <c r="AS331" i="2"/>
  <c r="AT336" i="2"/>
  <c r="AT497" i="2"/>
  <c r="AS539" i="2"/>
  <c r="AT510" i="2"/>
  <c r="AS544" i="2"/>
  <c r="AT390" i="2"/>
  <c r="AT403" i="2"/>
  <c r="AS291" i="2"/>
  <c r="AT306" i="2"/>
  <c r="AS310" i="2"/>
  <c r="AT327" i="2"/>
  <c r="AS340" i="2"/>
  <c r="AS420" i="2"/>
  <c r="AS434" i="2"/>
  <c r="AT482" i="2"/>
  <c r="AT285" i="2"/>
  <c r="AS283" i="2"/>
  <c r="AS307" i="2"/>
  <c r="AS318" i="2"/>
  <c r="AS336" i="2"/>
  <c r="AS348" i="2"/>
  <c r="AS360" i="2"/>
  <c r="AS416" i="2"/>
  <c r="AS457" i="2"/>
  <c r="AS554" i="2"/>
  <c r="AS561" i="2"/>
  <c r="AS500" i="2"/>
  <c r="AT550" i="2"/>
  <c r="AS549" i="2"/>
  <c r="AS547" i="2"/>
  <c r="AS564" i="2"/>
  <c r="AS513" i="2"/>
  <c r="AT530" i="2"/>
  <c r="AS490" i="2"/>
  <c r="AT445" i="2"/>
  <c r="AS559" i="2"/>
  <c r="AT512" i="2"/>
  <c r="AS518" i="2"/>
  <c r="AT532" i="2"/>
  <c r="AS555" i="2"/>
  <c r="AS387" i="2"/>
  <c r="AT433" i="2"/>
  <c r="AT484" i="2"/>
  <c r="AS538" i="2"/>
  <c r="AS556" i="2"/>
  <c r="AS551" i="2"/>
  <c r="AS587" i="2"/>
  <c r="AS593" i="2"/>
  <c r="AT598" i="2"/>
  <c r="AT356" i="2"/>
  <c r="AS409" i="2"/>
  <c r="AS418" i="2"/>
  <c r="AT448" i="2"/>
  <c r="AS469" i="2"/>
  <c r="AS522" i="2"/>
  <c r="AT381" i="2"/>
  <c r="AS438" i="2"/>
  <c r="AS425" i="2"/>
  <c r="AS316" i="2"/>
  <c r="AT319" i="2"/>
  <c r="AS324" i="2"/>
  <c r="AS371" i="2"/>
  <c r="AS378" i="2"/>
  <c r="AS388" i="2"/>
  <c r="AS414" i="2"/>
  <c r="AT421" i="2"/>
  <c r="AS426" i="2"/>
  <c r="AS442" i="2"/>
  <c r="AT459" i="2"/>
  <c r="AS534" i="2"/>
  <c r="AS575" i="2"/>
  <c r="AS581" i="2"/>
  <c r="AT584" i="2"/>
  <c r="AS588" i="2"/>
  <c r="AT591" i="2"/>
  <c r="AT362" i="2"/>
  <c r="AS424" i="2"/>
  <c r="AT281" i="2"/>
  <c r="AS520" i="2"/>
  <c r="AT509" i="2"/>
  <c r="AS278" i="2"/>
  <c r="AS279" i="2"/>
  <c r="AS306" i="2"/>
  <c r="AS314" i="2"/>
  <c r="AS345" i="2"/>
  <c r="AS359" i="2"/>
  <c r="AS379" i="2"/>
  <c r="AS415" i="2"/>
  <c r="AT463" i="2"/>
  <c r="AS511" i="2"/>
  <c r="AT586" i="2"/>
  <c r="AS595" i="2"/>
  <c r="AS601" i="2"/>
  <c r="AS436" i="2"/>
  <c r="AS499" i="2"/>
  <c r="AS600" i="2"/>
  <c r="AT346" i="2"/>
  <c r="AS323" i="2"/>
  <c r="AS332" i="2"/>
  <c r="AT374" i="2"/>
  <c r="AT277" i="2"/>
  <c r="AT315" i="2"/>
  <c r="AS325" i="2"/>
  <c r="AT352" i="2"/>
  <c r="AS372" i="2"/>
  <c r="AT377" i="2"/>
  <c r="AS403" i="2"/>
  <c r="AT413" i="2"/>
  <c r="AS429" i="2"/>
  <c r="AT485" i="2"/>
  <c r="AS516" i="2"/>
  <c r="AS545" i="2"/>
  <c r="AT552" i="2"/>
  <c r="AS576" i="2"/>
  <c r="AS582" i="2"/>
  <c r="AS589" i="2"/>
  <c r="AS596" i="2"/>
  <c r="AS282" i="2"/>
  <c r="AS301" i="2"/>
  <c r="AT409" i="2"/>
  <c r="AS441" i="2"/>
  <c r="AT559" i="2"/>
  <c r="AT506" i="2"/>
  <c r="AS473" i="2"/>
  <c r="AS491" i="2"/>
  <c r="AT561" i="2"/>
  <c r="AS501" i="2"/>
  <c r="AT513" i="2"/>
  <c r="AS527" i="2"/>
  <c r="AS565" i="2"/>
  <c r="AT287" i="2"/>
  <c r="AS289" i="2"/>
  <c r="AS296" i="2"/>
  <c r="AS303" i="2"/>
  <c r="AS317" i="2"/>
  <c r="AT323" i="2"/>
  <c r="AS333" i="2"/>
  <c r="AS351" i="2"/>
  <c r="AS367" i="2"/>
  <c r="AS375" i="2"/>
  <c r="AS380" i="2"/>
  <c r="AS407" i="2"/>
  <c r="AS430" i="2"/>
  <c r="AS443" i="2"/>
  <c r="AT470" i="2"/>
  <c r="AS553" i="2"/>
  <c r="AS578" i="2"/>
  <c r="AS597" i="2"/>
  <c r="AS308" i="2"/>
  <c r="AT418" i="2"/>
  <c r="AS476" i="2"/>
  <c r="AT518" i="2"/>
  <c r="AS535" i="2"/>
  <c r="AS566" i="2"/>
  <c r="AS503" i="2"/>
  <c r="AS284" i="2"/>
  <c r="AS297" i="2"/>
  <c r="AS312" i="2"/>
  <c r="AS326" i="2"/>
  <c r="AS341" i="2"/>
  <c r="AT360" i="2"/>
  <c r="AS374" i="2"/>
  <c r="AS390" i="2"/>
  <c r="AS399" i="2"/>
  <c r="AT405" i="2"/>
  <c r="AS421" i="2"/>
  <c r="AT488" i="2"/>
  <c r="AS510" i="2"/>
  <c r="AS552" i="2"/>
  <c r="AS579" i="2"/>
  <c r="AS584" i="2"/>
  <c r="AS591" i="2"/>
  <c r="AS598" i="2"/>
  <c r="AT601" i="2"/>
  <c r="AS346" i="2"/>
  <c r="AT424" i="2"/>
  <c r="AS445" i="2"/>
  <c r="AS512" i="2"/>
  <c r="AS530" i="2"/>
  <c r="AT564" i="2"/>
  <c r="AS506" i="2"/>
  <c r="AS285" i="2"/>
  <c r="AS290" i="2"/>
  <c r="AS304" i="2"/>
  <c r="AS319" i="2"/>
  <c r="AS335" i="2"/>
  <c r="AS343" i="2"/>
  <c r="AS352" i="2"/>
  <c r="AS368" i="2"/>
  <c r="AS381" i="2"/>
  <c r="AS413" i="2"/>
  <c r="AS444" i="2"/>
  <c r="AT474" i="2"/>
  <c r="AS550" i="2"/>
  <c r="AT577" i="2"/>
  <c r="AS586" i="2"/>
  <c r="AT282" i="2"/>
  <c r="AS356" i="2"/>
  <c r="AT436" i="2"/>
  <c r="AS448" i="2"/>
  <c r="AS537" i="2"/>
  <c r="AS494" i="2"/>
  <c r="AS298" i="2"/>
  <c r="AS315" i="2"/>
  <c r="AS327" i="2"/>
  <c r="AT340" i="2"/>
  <c r="AS358" i="2"/>
  <c r="AS376" i="2"/>
  <c r="AS391" i="2"/>
  <c r="AS401" i="2"/>
  <c r="AS422" i="2"/>
  <c r="AS509" i="2"/>
  <c r="AS546" i="2"/>
  <c r="AS542" i="2"/>
  <c r="AS580" i="2"/>
  <c r="AS592" i="2"/>
  <c r="AT597" i="2"/>
  <c r="AS599" i="2"/>
  <c r="AT301" i="2"/>
  <c r="AS362" i="2"/>
  <c r="AS281" i="2"/>
  <c r="AS487" i="2"/>
  <c r="AS532" i="2"/>
  <c r="AT462" i="2"/>
  <c r="AS466" i="2"/>
  <c r="AT479" i="2"/>
  <c r="AS492" i="2"/>
  <c r="AS481" i="2"/>
  <c r="AS484" i="2"/>
  <c r="AS464" i="2"/>
  <c r="AS498" i="2"/>
  <c r="AT465" i="2"/>
  <c r="AS489" i="2"/>
  <c r="AS478" i="2"/>
  <c r="AT477" i="2"/>
  <c r="AS493" i="2"/>
  <c r="AS488" i="2"/>
  <c r="AS465" i="2"/>
  <c r="AS475" i="2"/>
  <c r="AS496" i="2"/>
  <c r="AT498" i="2"/>
  <c r="AS482" i="2"/>
  <c r="AS463" i="2"/>
  <c r="AS460" i="2"/>
  <c r="AT471" i="2"/>
  <c r="AS470" i="2"/>
  <c r="AS459" i="2"/>
  <c r="AS461" i="2"/>
  <c r="AS486" i="2"/>
  <c r="AS485" i="2"/>
  <c r="AS477" i="2"/>
  <c r="AS458" i="2"/>
  <c r="AS483" i="2"/>
  <c r="AS495" i="2"/>
  <c r="AS480" i="2"/>
  <c r="AS471" i="2"/>
  <c r="AS474" i="2"/>
  <c r="AS497" i="2"/>
  <c r="AS462" i="2"/>
  <c r="AS456" i="2"/>
  <c r="AE506" i="2" l="1"/>
  <c r="AF506" i="2" s="1"/>
  <c r="AD506" i="2"/>
  <c r="AE503" i="2"/>
  <c r="AF503" i="2" s="1"/>
  <c r="AD503" i="2"/>
  <c r="AE501" i="2"/>
  <c r="AF501" i="2" s="1"/>
  <c r="AD501" i="2"/>
  <c r="AE500" i="2"/>
  <c r="AF500" i="2" s="1"/>
  <c r="AD500" i="2"/>
  <c r="AE499" i="2"/>
  <c r="AF499" i="2" s="1"/>
  <c r="AD499" i="2"/>
  <c r="AE494" i="2"/>
  <c r="AF494" i="2" s="1"/>
  <c r="AD494" i="2"/>
  <c r="AE566" i="2"/>
  <c r="AF566" i="2" s="1"/>
  <c r="AD566" i="2"/>
  <c r="AE565" i="2"/>
  <c r="AF565" i="2" s="1"/>
  <c r="AD565" i="2"/>
  <c r="AE564" i="2"/>
  <c r="AF564" i="2" s="1"/>
  <c r="AD564" i="2"/>
  <c r="AE563" i="2"/>
  <c r="AF563" i="2" s="1"/>
  <c r="AD563" i="2"/>
  <c r="AE561" i="2"/>
  <c r="AF561" i="2" s="1"/>
  <c r="AD561" i="2"/>
  <c r="AE537" i="2"/>
  <c r="AF537" i="2" s="1"/>
  <c r="AD537" i="2"/>
  <c r="AE535" i="2"/>
  <c r="AF535" i="2" s="1"/>
  <c r="AD535" i="2"/>
  <c r="AE491" i="2"/>
  <c r="AF491" i="2" s="1"/>
  <c r="AD491" i="2"/>
  <c r="AE490" i="2"/>
  <c r="AF490" i="2" s="1"/>
  <c r="AD490" i="2"/>
  <c r="AE560" i="2"/>
  <c r="AF560" i="2" s="1"/>
  <c r="AD560" i="2"/>
  <c r="AE532" i="2"/>
  <c r="AF532" i="2" s="1"/>
  <c r="AD532" i="2"/>
  <c r="AE530" i="2"/>
  <c r="AF530" i="2" s="1"/>
  <c r="AD530" i="2"/>
  <c r="AE527" i="2"/>
  <c r="AF527" i="2" s="1"/>
  <c r="AD527" i="2"/>
  <c r="AE522" i="2"/>
  <c r="AF522" i="2" s="1"/>
  <c r="AD522" i="2"/>
  <c r="AE518" i="2"/>
  <c r="AF518" i="2" s="1"/>
  <c r="AD518" i="2"/>
  <c r="AE513" i="2"/>
  <c r="AF513" i="2" s="1"/>
  <c r="AD513" i="2"/>
  <c r="AE487" i="2"/>
  <c r="AF487" i="2" s="1"/>
  <c r="AD487" i="2"/>
  <c r="AE512" i="2"/>
  <c r="AF512" i="2" s="1"/>
  <c r="AD512" i="2"/>
  <c r="AE476" i="2"/>
  <c r="AF476" i="2" s="1"/>
  <c r="AD476" i="2"/>
  <c r="AE473" i="2"/>
  <c r="AF473" i="2" s="1"/>
  <c r="AD473" i="2"/>
  <c r="AE469" i="2"/>
  <c r="AF469" i="2" s="1"/>
  <c r="AD469" i="2"/>
  <c r="AE559" i="2"/>
  <c r="AF559" i="2" s="1"/>
  <c r="AD559" i="2"/>
  <c r="AE450" i="2"/>
  <c r="AF450" i="2" s="1"/>
  <c r="AD450" i="2"/>
  <c r="AE281" i="2"/>
  <c r="AF281" i="2" s="1"/>
  <c r="AD281" i="2"/>
  <c r="AE448" i="2"/>
  <c r="AF448" i="2" s="1"/>
  <c r="AD448" i="2"/>
  <c r="AE445" i="2"/>
  <c r="AF445" i="2" s="1"/>
  <c r="AD445" i="2"/>
  <c r="AE441" i="2"/>
  <c r="AF441" i="2" s="1"/>
  <c r="AD441" i="2"/>
  <c r="AE436" i="2"/>
  <c r="AF436" i="2" s="1"/>
  <c r="AD436" i="2"/>
  <c r="AE424" i="2"/>
  <c r="AF424" i="2" s="1"/>
  <c r="AD424" i="2"/>
  <c r="AE418" i="2"/>
  <c r="AF418" i="2" s="1"/>
  <c r="AD418" i="2"/>
  <c r="AE409" i="2"/>
  <c r="AF409" i="2" s="1"/>
  <c r="AD409" i="2"/>
  <c r="AE393" i="2"/>
  <c r="AF393" i="2" s="1"/>
  <c r="AD393" i="2"/>
  <c r="AE362" i="2"/>
  <c r="AF362" i="2" s="1"/>
  <c r="AD362" i="2"/>
  <c r="AE356" i="2"/>
  <c r="AF356" i="2" s="1"/>
  <c r="AD356" i="2"/>
  <c r="AE346" i="2"/>
  <c r="AF346" i="2" s="1"/>
  <c r="AD346" i="2"/>
  <c r="AE308" i="2"/>
  <c r="AF308" i="2" s="1"/>
  <c r="AD308" i="2"/>
  <c r="AE301" i="2"/>
  <c r="AF301" i="2" s="1"/>
  <c r="AD301" i="2"/>
  <c r="AE282" i="2"/>
  <c r="AF282" i="2" s="1"/>
  <c r="AD282" i="2"/>
  <c r="AE601" i="2"/>
  <c r="AF601" i="2" s="1"/>
  <c r="AD601" i="2"/>
  <c r="AE600" i="2"/>
  <c r="AF600" i="2" s="1"/>
  <c r="AD600" i="2"/>
  <c r="AE599" i="2"/>
  <c r="AF599" i="2" s="1"/>
  <c r="AD599" i="2"/>
  <c r="AE598" i="2"/>
  <c r="AF598" i="2" s="1"/>
  <c r="AD598" i="2"/>
  <c r="AE597" i="2"/>
  <c r="AF597" i="2" s="1"/>
  <c r="AD597" i="2"/>
  <c r="AE596" i="2"/>
  <c r="AF596" i="2" s="1"/>
  <c r="AD596" i="2"/>
  <c r="AE595" i="2"/>
  <c r="AF595" i="2" s="1"/>
  <c r="AD595" i="2"/>
  <c r="AE593" i="2"/>
  <c r="AF593" i="2" s="1"/>
  <c r="AD593" i="2"/>
  <c r="AE592" i="2"/>
  <c r="AF592" i="2" s="1"/>
  <c r="AD592" i="2"/>
  <c r="AE591" i="2"/>
  <c r="AF591" i="2" s="1"/>
  <c r="AD591" i="2"/>
  <c r="AE590" i="2"/>
  <c r="AF590" i="2" s="1"/>
  <c r="AD590" i="2"/>
  <c r="AE589" i="2"/>
  <c r="AF589" i="2" s="1"/>
  <c r="AD589" i="2"/>
  <c r="AE588" i="2"/>
  <c r="AF588" i="2" s="1"/>
  <c r="AD588" i="2"/>
  <c r="AE587" i="2"/>
  <c r="AF587" i="2" s="1"/>
  <c r="AD587" i="2"/>
  <c r="AE586" i="2"/>
  <c r="AF586" i="2" s="1"/>
  <c r="AD586" i="2"/>
  <c r="AE584" i="2"/>
  <c r="AF584" i="2" s="1"/>
  <c r="AD584" i="2"/>
  <c r="AE583" i="2"/>
  <c r="AF583" i="2" s="1"/>
  <c r="AD583" i="2"/>
  <c r="AE582" i="2"/>
  <c r="AF582" i="2" s="1"/>
  <c r="AD582" i="2"/>
  <c r="AE581" i="2"/>
  <c r="AF581" i="2" s="1"/>
  <c r="AD581" i="2"/>
  <c r="AE580" i="2"/>
  <c r="AF580" i="2" s="1"/>
  <c r="AD580" i="2"/>
  <c r="AE579" i="2"/>
  <c r="AF579" i="2" s="1"/>
  <c r="AD579" i="2"/>
  <c r="AE578" i="2"/>
  <c r="AF578" i="2" s="1"/>
  <c r="AD578" i="2"/>
  <c r="AE577" i="2"/>
  <c r="AF577" i="2" s="1"/>
  <c r="AD577" i="2"/>
  <c r="AE576" i="2"/>
  <c r="AF576" i="2" s="1"/>
  <c r="AD576" i="2"/>
  <c r="AE575" i="2"/>
  <c r="AF575" i="2" s="1"/>
  <c r="AD575" i="2"/>
  <c r="AE542" i="2"/>
  <c r="AF542" i="2" s="1"/>
  <c r="AD542" i="2"/>
  <c r="AE552" i="2"/>
  <c r="AF552" i="2" s="1"/>
  <c r="AD552" i="2"/>
  <c r="AE547" i="2"/>
  <c r="AF547" i="2" s="1"/>
  <c r="AD547" i="2"/>
  <c r="AE557" i="2"/>
  <c r="AF557" i="2" s="1"/>
  <c r="AD557" i="2"/>
  <c r="AE545" i="2"/>
  <c r="AF545" i="2" s="1"/>
  <c r="AD545" i="2"/>
  <c r="AE546" i="2"/>
  <c r="AF546" i="2" s="1"/>
  <c r="AD546" i="2"/>
  <c r="AE551" i="2"/>
  <c r="AF551" i="2" s="1"/>
  <c r="AD551" i="2"/>
  <c r="AE555" i="2"/>
  <c r="AF555" i="2" s="1"/>
  <c r="AD555" i="2"/>
  <c r="AE549" i="2"/>
  <c r="AF549" i="2" s="1"/>
  <c r="AD549" i="2"/>
  <c r="AE548" i="2"/>
  <c r="AF548" i="2" s="1"/>
  <c r="AD548" i="2"/>
  <c r="AE554" i="2"/>
  <c r="AF554" i="2" s="1"/>
  <c r="AD554" i="2"/>
  <c r="AE550" i="2"/>
  <c r="AF550" i="2" s="1"/>
  <c r="AD550" i="2"/>
  <c r="AE553" i="2"/>
  <c r="AF553" i="2" s="1"/>
  <c r="AD553" i="2"/>
  <c r="AE556" i="2"/>
  <c r="AF556" i="2" s="1"/>
  <c r="AD556" i="2"/>
  <c r="AE544" i="2"/>
  <c r="AF544" i="2" s="1"/>
  <c r="AD544" i="2"/>
  <c r="AE543" i="2"/>
  <c r="AF543" i="2" s="1"/>
  <c r="AD543" i="2"/>
  <c r="AE509" i="2"/>
  <c r="AF509" i="2" s="1"/>
  <c r="AD509" i="2"/>
  <c r="AE510" i="2"/>
  <c r="AF510" i="2" s="1"/>
  <c r="AD510" i="2"/>
  <c r="AE511" i="2"/>
  <c r="AF511" i="2" s="1"/>
  <c r="AD511" i="2"/>
  <c r="AE538" i="2"/>
  <c r="AF538" i="2" s="1"/>
  <c r="AD538" i="2"/>
  <c r="AE539" i="2"/>
  <c r="AF539" i="2" s="1"/>
  <c r="AD539" i="2"/>
  <c r="AE516" i="2"/>
  <c r="AF516" i="2" s="1"/>
  <c r="AD516" i="2"/>
  <c r="AE534" i="2"/>
  <c r="AF534" i="2" s="1"/>
  <c r="AE520" i="2"/>
  <c r="AF520" i="2" s="1"/>
  <c r="AD520" i="2"/>
  <c r="AE479" i="2"/>
  <c r="AF479" i="2" s="1"/>
  <c r="AD479" i="2"/>
  <c r="AE459" i="2"/>
  <c r="AF459" i="2" s="1"/>
  <c r="AD459" i="2"/>
  <c r="AE484" i="2"/>
  <c r="AF484" i="2" s="1"/>
  <c r="AD484" i="2"/>
  <c r="AE466" i="2"/>
  <c r="AF466" i="2" s="1"/>
  <c r="AD466" i="2"/>
  <c r="AE458" i="2"/>
  <c r="AF458" i="2" s="1"/>
  <c r="AD458" i="2"/>
  <c r="AE461" i="2"/>
  <c r="AF461" i="2" s="1"/>
  <c r="AD461" i="2"/>
  <c r="AE456" i="2"/>
  <c r="AF456" i="2" s="1"/>
  <c r="AD456" i="2"/>
  <c r="AE465" i="2"/>
  <c r="AF465" i="2" s="1"/>
  <c r="AD465" i="2"/>
  <c r="AE463" i="2"/>
  <c r="AF463" i="2" s="1"/>
  <c r="AD463" i="2"/>
  <c r="AE483" i="2"/>
  <c r="AF483" i="2" s="1"/>
  <c r="AD483" i="2"/>
  <c r="AE477" i="2"/>
  <c r="AF477" i="2" s="1"/>
  <c r="AD477" i="2"/>
  <c r="AE457" i="2"/>
  <c r="AF457" i="2" s="1"/>
  <c r="AD457" i="2"/>
  <c r="AE470" i="2"/>
  <c r="AF470" i="2" s="1"/>
  <c r="AD470" i="2"/>
  <c r="AE481" i="2"/>
  <c r="AF481" i="2" s="1"/>
  <c r="AD481" i="2"/>
  <c r="AE478" i="2"/>
  <c r="AF478" i="2" s="1"/>
  <c r="AD478" i="2"/>
  <c r="AE485" i="2"/>
  <c r="AF485" i="2" s="1"/>
  <c r="AD485" i="2"/>
  <c r="AE475" i="2"/>
  <c r="AF475" i="2" s="1"/>
  <c r="AD475" i="2"/>
  <c r="AE462" i="2"/>
  <c r="AF462" i="2" s="1"/>
  <c r="AD462" i="2"/>
  <c r="AE488" i="2"/>
  <c r="AF488" i="2" s="1"/>
  <c r="AD488" i="2"/>
  <c r="AE482" i="2"/>
  <c r="AF482" i="2" s="1"/>
  <c r="AD482" i="2"/>
  <c r="AE471" i="2"/>
  <c r="AF471" i="2" s="1"/>
  <c r="AD471" i="2"/>
  <c r="AE486" i="2"/>
  <c r="AF486" i="2" s="1"/>
  <c r="AD486" i="2"/>
  <c r="AE464" i="2"/>
  <c r="AF464" i="2" s="1"/>
  <c r="AD464" i="2"/>
  <c r="AE460" i="2"/>
  <c r="AF460" i="2" s="1"/>
  <c r="AD460" i="2"/>
  <c r="AE474" i="2"/>
  <c r="AF474" i="2" s="1"/>
  <c r="AD474" i="2"/>
  <c r="AE480" i="2"/>
  <c r="AF480" i="2" s="1"/>
  <c r="AD480" i="2"/>
  <c r="AE489" i="2"/>
  <c r="AF489" i="2" s="1"/>
  <c r="AD489" i="2"/>
  <c r="AE498" i="2"/>
  <c r="AF498" i="2" s="1"/>
  <c r="AD498" i="2"/>
  <c r="AE497" i="2"/>
  <c r="AF497" i="2" s="1"/>
  <c r="AD497" i="2"/>
  <c r="AE493" i="2"/>
  <c r="AF493" i="2" s="1"/>
  <c r="AD493" i="2"/>
  <c r="AE492" i="2"/>
  <c r="AF492" i="2" s="1"/>
  <c r="AD492" i="2"/>
  <c r="AE495" i="2"/>
  <c r="AF495" i="2" s="1"/>
  <c r="AD495" i="2"/>
  <c r="AE496" i="2"/>
  <c r="AF496" i="2" s="1"/>
  <c r="AD496" i="2"/>
  <c r="AE444" i="2"/>
  <c r="AF444" i="2" s="1"/>
  <c r="AD444" i="2"/>
  <c r="AE443" i="2"/>
  <c r="AF443" i="2" s="1"/>
  <c r="AD443" i="2"/>
  <c r="AE442" i="2"/>
  <c r="AF442" i="2" s="1"/>
  <c r="AD442" i="2"/>
  <c r="AE438" i="2"/>
  <c r="AF438" i="2" s="1"/>
  <c r="AD438" i="2"/>
  <c r="AE434" i="2"/>
  <c r="AF434" i="2" s="1"/>
  <c r="AD434" i="2"/>
  <c r="AE433" i="2"/>
  <c r="AF433" i="2" s="1"/>
  <c r="AD433" i="2"/>
  <c r="AE430" i="2"/>
  <c r="AF430" i="2" s="1"/>
  <c r="AD430" i="2"/>
  <c r="AE429" i="2"/>
  <c r="AF429" i="2" s="1"/>
  <c r="AD429" i="2"/>
  <c r="AE426" i="2"/>
  <c r="AF426" i="2" s="1"/>
  <c r="AD426" i="2"/>
  <c r="AE425" i="2"/>
  <c r="AF425" i="2" s="1"/>
  <c r="AD425" i="2"/>
  <c r="AE422" i="2"/>
  <c r="AF422" i="2" s="1"/>
  <c r="AD422" i="2"/>
  <c r="AE421" i="2"/>
  <c r="AF421" i="2" s="1"/>
  <c r="AD421" i="2"/>
  <c r="AE420" i="2"/>
  <c r="AF420" i="2" s="1"/>
  <c r="AD420" i="2"/>
  <c r="AE416" i="2"/>
  <c r="AF416" i="2" s="1"/>
  <c r="AD416" i="2"/>
  <c r="AE415" i="2"/>
  <c r="AF415" i="2" s="1"/>
  <c r="AD415" i="2"/>
  <c r="AE414" i="2"/>
  <c r="AF414" i="2" s="1"/>
  <c r="AD414" i="2"/>
  <c r="AE413" i="2"/>
  <c r="AF413" i="2" s="1"/>
  <c r="AD413" i="2"/>
  <c r="AE407" i="2"/>
  <c r="AF407" i="2" s="1"/>
  <c r="AD407" i="2"/>
  <c r="AE406" i="2"/>
  <c r="AF406" i="2" s="1"/>
  <c r="AD406" i="2"/>
  <c r="AE405" i="2"/>
  <c r="AF405" i="2" s="1"/>
  <c r="AD405" i="2"/>
  <c r="AE403" i="2"/>
  <c r="AF403" i="2" s="1"/>
  <c r="AD403" i="2"/>
  <c r="AE401" i="2"/>
  <c r="AF401" i="2" s="1"/>
  <c r="AD401" i="2"/>
  <c r="AE399" i="2"/>
  <c r="AF399" i="2" s="1"/>
  <c r="AD399" i="2"/>
  <c r="AE398" i="2"/>
  <c r="AF398" i="2" s="1"/>
  <c r="AD398" i="2"/>
  <c r="AE397" i="2"/>
  <c r="AF397" i="2" s="1"/>
  <c r="AD397" i="2"/>
  <c r="AE396" i="2"/>
  <c r="AF396" i="2" s="1"/>
  <c r="AD396" i="2"/>
  <c r="AE391" i="2"/>
  <c r="AF391" i="2" s="1"/>
  <c r="AD391" i="2"/>
  <c r="AE390" i="2"/>
  <c r="AF390" i="2" s="1"/>
  <c r="AD390" i="2"/>
  <c r="AE388" i="2"/>
  <c r="AF388" i="2" s="1"/>
  <c r="AD388" i="2"/>
  <c r="AE387" i="2"/>
  <c r="AF387" i="2" s="1"/>
  <c r="AD387" i="2"/>
  <c r="AE385" i="2"/>
  <c r="AF385" i="2" s="1"/>
  <c r="AD385" i="2"/>
  <c r="AE382" i="2"/>
  <c r="AF382" i="2" s="1"/>
  <c r="AD382" i="2"/>
  <c r="AE381" i="2"/>
  <c r="AF381" i="2" s="1"/>
  <c r="AD381" i="2"/>
  <c r="AE380" i="2"/>
  <c r="AF380" i="2" s="1"/>
  <c r="AD380" i="2"/>
  <c r="AE379" i="2"/>
  <c r="AF379" i="2" s="1"/>
  <c r="AD379" i="2"/>
  <c r="AE378" i="2"/>
  <c r="AF378" i="2" s="1"/>
  <c r="AD378" i="2"/>
  <c r="AE377" i="2"/>
  <c r="AF377" i="2" s="1"/>
  <c r="AD377" i="2"/>
  <c r="AE376" i="2"/>
  <c r="AF376" i="2" s="1"/>
  <c r="AD376" i="2"/>
  <c r="AE374" i="2"/>
  <c r="AF374" i="2" s="1"/>
  <c r="AD374" i="2"/>
  <c r="AE375" i="2"/>
  <c r="AF375" i="2" s="1"/>
  <c r="AD375" i="2"/>
  <c r="AE372" i="2"/>
  <c r="AF372" i="2" s="1"/>
  <c r="AD372" i="2"/>
  <c r="AE371" i="2"/>
  <c r="AF371" i="2" s="1"/>
  <c r="AD371" i="2"/>
  <c r="AE370" i="2"/>
  <c r="AF370" i="2" s="1"/>
  <c r="AD370" i="2"/>
  <c r="AE368" i="2"/>
  <c r="AF368" i="2" s="1"/>
  <c r="AD368" i="2"/>
  <c r="AE367" i="2"/>
  <c r="AF367" i="2" s="1"/>
  <c r="AD367" i="2"/>
  <c r="AE366" i="2"/>
  <c r="AF366" i="2" s="1"/>
  <c r="AD366" i="2"/>
  <c r="AE360" i="2"/>
  <c r="AF360" i="2" s="1"/>
  <c r="AD360" i="2"/>
  <c r="AE359" i="2"/>
  <c r="AF359" i="2" s="1"/>
  <c r="AD359" i="2"/>
  <c r="AE358" i="2"/>
  <c r="AF358" i="2" s="1"/>
  <c r="AD358" i="2"/>
  <c r="AE352" i="2"/>
  <c r="AF352" i="2" s="1"/>
  <c r="AD352" i="2"/>
  <c r="AE351" i="2"/>
  <c r="AF351" i="2" s="1"/>
  <c r="AD351" i="2"/>
  <c r="AE350" i="2"/>
  <c r="AF350" i="2" s="1"/>
  <c r="AD350" i="2"/>
  <c r="AE348" i="2"/>
  <c r="AF348" i="2" s="1"/>
  <c r="AD348" i="2"/>
  <c r="AE345" i="2"/>
  <c r="AF345" i="2" s="1"/>
  <c r="AD345" i="2"/>
  <c r="AE343" i="2"/>
  <c r="AF343" i="2" s="1"/>
  <c r="AD343" i="2"/>
  <c r="AE341" i="2"/>
  <c r="AF341" i="2" s="1"/>
  <c r="AD341" i="2"/>
  <c r="AE340" i="2"/>
  <c r="AF340" i="2" s="1"/>
  <c r="AD340" i="2"/>
  <c r="AE339" i="2"/>
  <c r="AF339" i="2" s="1"/>
  <c r="AD339" i="2"/>
  <c r="AE338" i="2"/>
  <c r="AF338" i="2" s="1"/>
  <c r="AD338" i="2"/>
  <c r="AE336" i="2"/>
  <c r="AF336" i="2" s="1"/>
  <c r="AD336" i="2"/>
  <c r="AE335" i="2"/>
  <c r="AF335" i="2" s="1"/>
  <c r="AD335" i="2"/>
  <c r="AE333" i="2"/>
  <c r="AF333" i="2" s="1"/>
  <c r="AD333" i="2"/>
  <c r="AE332" i="2"/>
  <c r="AF332" i="2" s="1"/>
  <c r="AD332" i="2"/>
  <c r="AE331" i="2"/>
  <c r="AF331" i="2" s="1"/>
  <c r="AD331" i="2"/>
  <c r="AE328" i="2"/>
  <c r="AF328" i="2" s="1"/>
  <c r="AD328" i="2"/>
  <c r="AE327" i="2"/>
  <c r="AF327" i="2" s="1"/>
  <c r="AD327" i="2"/>
  <c r="AE326" i="2"/>
  <c r="AF326" i="2" s="1"/>
  <c r="AD326" i="2"/>
  <c r="AE325" i="2"/>
  <c r="AF325" i="2" s="1"/>
  <c r="AD325" i="2"/>
  <c r="AE324" i="2"/>
  <c r="AF324" i="2" s="1"/>
  <c r="AD324" i="2"/>
  <c r="AE323" i="2"/>
  <c r="AF323" i="2" s="1"/>
  <c r="AD323" i="2"/>
  <c r="AE321" i="2"/>
  <c r="AF321" i="2" s="1"/>
  <c r="AD321" i="2"/>
  <c r="AE319" i="2"/>
  <c r="AF319" i="2" s="1"/>
  <c r="AD319" i="2"/>
  <c r="AE317" i="2"/>
  <c r="AF317" i="2" s="1"/>
  <c r="AD317" i="2"/>
  <c r="AE318" i="2"/>
  <c r="AF318" i="2" s="1"/>
  <c r="AD318" i="2"/>
  <c r="AE314" i="2"/>
  <c r="AF314" i="2" s="1"/>
  <c r="AD314" i="2"/>
  <c r="AE316" i="2"/>
  <c r="AF316" i="2" s="1"/>
  <c r="AD316" i="2"/>
  <c r="AE315" i="2"/>
  <c r="AF315" i="2" s="1"/>
  <c r="AD315" i="2"/>
  <c r="AE312" i="2"/>
  <c r="AF312" i="2" s="1"/>
  <c r="AD312" i="2"/>
  <c r="AE310" i="2"/>
  <c r="AF310" i="2" s="1"/>
  <c r="AD310" i="2"/>
  <c r="AE309" i="2"/>
  <c r="AF309" i="2" s="1"/>
  <c r="AD309" i="2"/>
  <c r="AE307" i="2"/>
  <c r="AF307" i="2" s="1"/>
  <c r="AD307" i="2"/>
  <c r="AE306" i="2"/>
  <c r="AF306" i="2" s="1"/>
  <c r="AD306" i="2"/>
  <c r="AE304" i="2"/>
  <c r="AF304" i="2" s="1"/>
  <c r="AD304" i="2"/>
  <c r="AE303" i="2"/>
  <c r="AF303" i="2" s="1"/>
  <c r="AD303" i="2"/>
  <c r="AE302" i="2"/>
  <c r="AF302" i="2" s="1"/>
  <c r="AD302" i="2"/>
  <c r="AE300" i="2"/>
  <c r="AF300" i="2" s="1"/>
  <c r="AD300" i="2"/>
  <c r="AE299" i="2"/>
  <c r="AF299" i="2" s="1"/>
  <c r="AD299" i="2"/>
  <c r="AE298" i="2"/>
  <c r="AF298" i="2" s="1"/>
  <c r="AD298" i="2"/>
  <c r="AE297" i="2"/>
  <c r="AF297" i="2" s="1"/>
  <c r="AD297" i="2"/>
  <c r="AE296" i="2"/>
  <c r="AF296" i="2" s="1"/>
  <c r="AD296" i="2"/>
  <c r="AE294" i="2"/>
  <c r="AF294" i="2" s="1"/>
  <c r="AD294" i="2"/>
  <c r="AE293" i="2"/>
  <c r="AF293" i="2" s="1"/>
  <c r="AD293" i="2"/>
  <c r="AE291" i="2"/>
  <c r="AF291" i="2" s="1"/>
  <c r="AD291" i="2"/>
  <c r="AE290" i="2"/>
  <c r="AF290" i="2" s="1"/>
  <c r="AD290" i="2"/>
  <c r="AE289" i="2"/>
  <c r="AF289" i="2" s="1"/>
  <c r="AD289" i="2"/>
  <c r="AE288" i="2"/>
  <c r="AF288" i="2" s="1"/>
  <c r="AD288" i="2"/>
  <c r="AE287" i="2"/>
  <c r="AF287" i="2" s="1"/>
  <c r="AD287" i="2"/>
  <c r="AE286" i="2"/>
  <c r="AF286" i="2" s="1"/>
  <c r="AD286" i="2"/>
  <c r="AE285" i="2"/>
  <c r="AF285" i="2" s="1"/>
  <c r="AD285" i="2"/>
  <c r="AE284" i="2"/>
  <c r="AF284" i="2" s="1"/>
  <c r="AD284" i="2"/>
  <c r="AE283" i="2"/>
  <c r="AF283" i="2" s="1"/>
  <c r="AD283" i="2"/>
  <c r="AE279" i="2"/>
  <c r="AF279" i="2" s="1"/>
  <c r="AD279" i="2"/>
  <c r="AE278" i="2"/>
  <c r="AF278" i="2" s="1"/>
  <c r="AD278" i="2"/>
  <c r="AE277" i="2"/>
  <c r="AF277" i="2" s="1"/>
  <c r="AD277" i="2"/>
  <c r="AR273" i="2"/>
  <c r="AQ273" i="2"/>
  <c r="AP273" i="2"/>
  <c r="AO273" i="2"/>
  <c r="AN273" i="2"/>
  <c r="AM273" i="2"/>
  <c r="AL273" i="2"/>
  <c r="AK273" i="2"/>
  <c r="AJ273" i="2"/>
  <c r="AI273" i="2"/>
  <c r="AH273" i="2"/>
  <c r="AE273" i="2"/>
  <c r="AF273" i="2" s="1"/>
  <c r="AD273" i="2"/>
  <c r="AR270" i="2"/>
  <c r="AQ270" i="2"/>
  <c r="AP270" i="2"/>
  <c r="AO270" i="2"/>
  <c r="AN270" i="2"/>
  <c r="AM270" i="2"/>
  <c r="AL270" i="2"/>
  <c r="AK270" i="2"/>
  <c r="AJ270" i="2"/>
  <c r="AI270" i="2"/>
  <c r="AH270" i="2"/>
  <c r="AE270" i="2"/>
  <c r="AF270" i="2" s="1"/>
  <c r="AD270" i="2"/>
  <c r="AR268" i="2"/>
  <c r="AQ268" i="2"/>
  <c r="AP268" i="2"/>
  <c r="AO268" i="2"/>
  <c r="AN268" i="2"/>
  <c r="AM268" i="2"/>
  <c r="AL268" i="2"/>
  <c r="AK268" i="2"/>
  <c r="AJ268" i="2"/>
  <c r="AI268" i="2"/>
  <c r="AH268" i="2"/>
  <c r="AE268" i="2"/>
  <c r="AF268" i="2" s="1"/>
  <c r="AD268" i="2"/>
  <c r="AR266" i="2"/>
  <c r="AQ266" i="2"/>
  <c r="AP266" i="2"/>
  <c r="AO266" i="2"/>
  <c r="AN266" i="2"/>
  <c r="AM266" i="2"/>
  <c r="AL266" i="2"/>
  <c r="AK266" i="2"/>
  <c r="AJ266" i="2"/>
  <c r="AI266" i="2"/>
  <c r="AH266" i="2"/>
  <c r="AE266" i="2"/>
  <c r="AF266" i="2" s="1"/>
  <c r="AD266" i="2"/>
  <c r="AR265" i="2"/>
  <c r="AQ265" i="2"/>
  <c r="AP265" i="2"/>
  <c r="AO265" i="2"/>
  <c r="AN265" i="2"/>
  <c r="AM265" i="2"/>
  <c r="AL265" i="2"/>
  <c r="AK265" i="2"/>
  <c r="AJ265" i="2"/>
  <c r="AI265" i="2"/>
  <c r="AH265" i="2"/>
  <c r="AE265" i="2"/>
  <c r="AF265" i="2" s="1"/>
  <c r="AD265" i="2"/>
  <c r="AR263" i="2"/>
  <c r="AQ263" i="2"/>
  <c r="AP263" i="2"/>
  <c r="AO263" i="2"/>
  <c r="AN263" i="2"/>
  <c r="AM263" i="2"/>
  <c r="AL263" i="2"/>
  <c r="AK263" i="2"/>
  <c r="AJ263" i="2"/>
  <c r="AI263" i="2"/>
  <c r="AH263" i="2"/>
  <c r="AE263" i="2"/>
  <c r="AF263" i="2" s="1"/>
  <c r="AD263" i="2"/>
  <c r="AR261" i="2"/>
  <c r="AQ261" i="2"/>
  <c r="AP261" i="2"/>
  <c r="AO261" i="2"/>
  <c r="AN261" i="2"/>
  <c r="AM261" i="2"/>
  <c r="AL261" i="2"/>
  <c r="AK261" i="2"/>
  <c r="AJ261" i="2"/>
  <c r="AI261" i="2"/>
  <c r="AH261" i="2"/>
  <c r="AE261" i="2"/>
  <c r="AF261" i="2" s="1"/>
  <c r="AD261" i="2"/>
  <c r="AR259" i="2"/>
  <c r="AQ259" i="2"/>
  <c r="AP259" i="2"/>
  <c r="AO259" i="2"/>
  <c r="AN259" i="2"/>
  <c r="AM259" i="2"/>
  <c r="AL259" i="2"/>
  <c r="AK259" i="2"/>
  <c r="AJ259" i="2"/>
  <c r="AI259" i="2"/>
  <c r="AH259" i="2"/>
  <c r="AE259" i="2"/>
  <c r="AF259" i="2" s="1"/>
  <c r="AD259" i="2"/>
  <c r="AR258" i="2"/>
  <c r="AQ258" i="2"/>
  <c r="AP258" i="2"/>
  <c r="AO258" i="2"/>
  <c r="AN258" i="2"/>
  <c r="AM258" i="2"/>
  <c r="AL258" i="2"/>
  <c r="AK258" i="2"/>
  <c r="AJ258" i="2"/>
  <c r="AI258" i="2"/>
  <c r="AH258" i="2"/>
  <c r="AE258" i="2"/>
  <c r="AF258" i="2" s="1"/>
  <c r="AD258" i="2"/>
  <c r="AR256" i="2"/>
  <c r="AQ256" i="2"/>
  <c r="AP256" i="2"/>
  <c r="AO256" i="2"/>
  <c r="AN256" i="2"/>
  <c r="AM256" i="2"/>
  <c r="AL256" i="2"/>
  <c r="AK256" i="2"/>
  <c r="AJ256" i="2"/>
  <c r="AI256" i="2"/>
  <c r="AH256" i="2"/>
  <c r="AE256" i="2"/>
  <c r="AF256" i="2" s="1"/>
  <c r="AD256" i="2"/>
  <c r="AR254" i="2"/>
  <c r="AQ254" i="2"/>
  <c r="AP254" i="2"/>
  <c r="AO254" i="2"/>
  <c r="AN254" i="2"/>
  <c r="AM254" i="2"/>
  <c r="AL254" i="2"/>
  <c r="AK254" i="2"/>
  <c r="AJ254" i="2"/>
  <c r="AI254" i="2"/>
  <c r="AH254" i="2"/>
  <c r="AE254" i="2"/>
  <c r="AF254" i="2" s="1"/>
  <c r="AD254" i="2"/>
  <c r="AR272" i="2"/>
  <c r="AQ272" i="2"/>
  <c r="AP272" i="2"/>
  <c r="AO272" i="2"/>
  <c r="AN272" i="2"/>
  <c r="AM272" i="2"/>
  <c r="AL272" i="2"/>
  <c r="AK272" i="2"/>
  <c r="AJ272" i="2"/>
  <c r="AI272" i="2"/>
  <c r="AH272" i="2"/>
  <c r="AE272" i="2"/>
  <c r="AF272" i="2" s="1"/>
  <c r="AD272" i="2"/>
  <c r="AR271" i="2"/>
  <c r="AQ271" i="2"/>
  <c r="AP271" i="2"/>
  <c r="AO271" i="2"/>
  <c r="AN271" i="2"/>
  <c r="AM271" i="2"/>
  <c r="AL271" i="2"/>
  <c r="AK271" i="2"/>
  <c r="AJ271" i="2"/>
  <c r="AI271" i="2"/>
  <c r="AH271" i="2"/>
  <c r="AE271" i="2"/>
  <c r="AF271" i="2" s="1"/>
  <c r="AD271" i="2"/>
  <c r="AR269" i="2"/>
  <c r="AQ269" i="2"/>
  <c r="AP269" i="2"/>
  <c r="AO269" i="2"/>
  <c r="AN269" i="2"/>
  <c r="AM269" i="2"/>
  <c r="AL269" i="2"/>
  <c r="AK269" i="2"/>
  <c r="AJ269" i="2"/>
  <c r="AI269" i="2"/>
  <c r="AH269" i="2"/>
  <c r="AE269" i="2"/>
  <c r="AF269" i="2" s="1"/>
  <c r="AD269" i="2"/>
  <c r="AR267" i="2"/>
  <c r="AQ267" i="2"/>
  <c r="AP267" i="2"/>
  <c r="AO267" i="2"/>
  <c r="AN267" i="2"/>
  <c r="AM267" i="2"/>
  <c r="AL267" i="2"/>
  <c r="AK267" i="2"/>
  <c r="AJ267" i="2"/>
  <c r="AI267" i="2"/>
  <c r="AH267" i="2"/>
  <c r="AE267" i="2"/>
  <c r="AF267" i="2" s="1"/>
  <c r="AD267" i="2"/>
  <c r="AR264" i="2"/>
  <c r="AQ264" i="2"/>
  <c r="AP264" i="2"/>
  <c r="AO264" i="2"/>
  <c r="AN264" i="2"/>
  <c r="AM264" i="2"/>
  <c r="AL264" i="2"/>
  <c r="AK264" i="2"/>
  <c r="AJ264" i="2"/>
  <c r="AI264" i="2"/>
  <c r="AH264" i="2"/>
  <c r="AE264" i="2"/>
  <c r="AF264" i="2" s="1"/>
  <c r="AD264" i="2"/>
  <c r="AR262" i="2"/>
  <c r="AQ262" i="2"/>
  <c r="AP262" i="2"/>
  <c r="AO262" i="2"/>
  <c r="AN262" i="2"/>
  <c r="AM262" i="2"/>
  <c r="AL262" i="2"/>
  <c r="AK262" i="2"/>
  <c r="AJ262" i="2"/>
  <c r="AI262" i="2"/>
  <c r="AH262" i="2"/>
  <c r="AE262" i="2"/>
  <c r="AF262" i="2" s="1"/>
  <c r="AD262" i="2"/>
  <c r="AR252" i="2"/>
  <c r="AQ252" i="2"/>
  <c r="AP252" i="2"/>
  <c r="AO252" i="2"/>
  <c r="AN252" i="2"/>
  <c r="AM252" i="2"/>
  <c r="AL252" i="2"/>
  <c r="AK252" i="2"/>
  <c r="AJ252" i="2"/>
  <c r="AI252" i="2"/>
  <c r="AH252" i="2"/>
  <c r="AE252" i="2"/>
  <c r="AF252" i="2" s="1"/>
  <c r="AD252" i="2"/>
  <c r="AR260" i="2"/>
  <c r="AQ260" i="2"/>
  <c r="AP260" i="2"/>
  <c r="AO260" i="2"/>
  <c r="AN260" i="2"/>
  <c r="AM260" i="2"/>
  <c r="AL260" i="2"/>
  <c r="AK260" i="2"/>
  <c r="AJ260" i="2"/>
  <c r="AI260" i="2"/>
  <c r="AH260" i="2"/>
  <c r="AE260" i="2"/>
  <c r="AF260" i="2" s="1"/>
  <c r="AD260" i="2"/>
  <c r="AR257" i="2"/>
  <c r="AQ257" i="2"/>
  <c r="AP257" i="2"/>
  <c r="AO257" i="2"/>
  <c r="AN257" i="2"/>
  <c r="AM257" i="2"/>
  <c r="AL257" i="2"/>
  <c r="AK257" i="2"/>
  <c r="AJ257" i="2"/>
  <c r="AI257" i="2"/>
  <c r="AH257" i="2"/>
  <c r="AE257" i="2"/>
  <c r="AF257" i="2" s="1"/>
  <c r="AD257" i="2"/>
  <c r="AR255" i="2"/>
  <c r="AQ255" i="2"/>
  <c r="AP255" i="2"/>
  <c r="AO255" i="2"/>
  <c r="AN255" i="2"/>
  <c r="AM255" i="2"/>
  <c r="AL255" i="2"/>
  <c r="AK255" i="2"/>
  <c r="AJ255" i="2"/>
  <c r="AI255" i="2"/>
  <c r="AH255" i="2"/>
  <c r="AE255" i="2"/>
  <c r="AF255" i="2" s="1"/>
  <c r="AD255" i="2"/>
  <c r="AR253" i="2"/>
  <c r="AQ253" i="2"/>
  <c r="AP253" i="2"/>
  <c r="AO253" i="2"/>
  <c r="AN253" i="2"/>
  <c r="AM253" i="2"/>
  <c r="AL253" i="2"/>
  <c r="AK253" i="2"/>
  <c r="AJ253" i="2"/>
  <c r="AI253" i="2"/>
  <c r="AH253" i="2"/>
  <c r="AE253" i="2"/>
  <c r="AF253" i="2" s="1"/>
  <c r="AD253" i="2"/>
  <c r="AR250" i="2"/>
  <c r="AQ250" i="2"/>
  <c r="AP250" i="2"/>
  <c r="AO250" i="2"/>
  <c r="AN250" i="2"/>
  <c r="AM250" i="2"/>
  <c r="AL250" i="2"/>
  <c r="AK250" i="2"/>
  <c r="AJ250" i="2"/>
  <c r="AI250" i="2"/>
  <c r="AH250" i="2"/>
  <c r="AE250" i="2"/>
  <c r="AF250" i="2" s="1"/>
  <c r="AD250" i="2"/>
  <c r="AR249" i="2"/>
  <c r="AQ249" i="2"/>
  <c r="AP249" i="2"/>
  <c r="AO249" i="2"/>
  <c r="AN249" i="2"/>
  <c r="AM249" i="2"/>
  <c r="AL249" i="2"/>
  <c r="AK249" i="2"/>
  <c r="AJ249" i="2"/>
  <c r="AI249" i="2"/>
  <c r="AH249" i="2"/>
  <c r="AE249" i="2"/>
  <c r="AF249" i="2" s="1"/>
  <c r="AD249" i="2"/>
  <c r="AR248" i="2"/>
  <c r="AQ248" i="2"/>
  <c r="AP248" i="2"/>
  <c r="AO248" i="2"/>
  <c r="AN248" i="2"/>
  <c r="AM248" i="2"/>
  <c r="AL248" i="2"/>
  <c r="AK248" i="2"/>
  <c r="AJ248" i="2"/>
  <c r="AI248" i="2"/>
  <c r="AH248" i="2"/>
  <c r="AE248" i="2"/>
  <c r="AF248" i="2" s="1"/>
  <c r="AD248" i="2"/>
  <c r="AR247" i="2"/>
  <c r="AQ247" i="2"/>
  <c r="AP247" i="2"/>
  <c r="AO247" i="2"/>
  <c r="AN247" i="2"/>
  <c r="AM247" i="2"/>
  <c r="AL247" i="2"/>
  <c r="AK247" i="2"/>
  <c r="AJ247" i="2"/>
  <c r="AI247" i="2"/>
  <c r="AH247" i="2"/>
  <c r="AE247" i="2"/>
  <c r="AF247" i="2" s="1"/>
  <c r="AD247" i="2"/>
  <c r="AR245" i="2"/>
  <c r="AQ245" i="2"/>
  <c r="AP245" i="2"/>
  <c r="AO245" i="2"/>
  <c r="AN245" i="2"/>
  <c r="AM245" i="2"/>
  <c r="AL245" i="2"/>
  <c r="AK245" i="2"/>
  <c r="AJ245" i="2"/>
  <c r="AI245" i="2"/>
  <c r="AH245" i="2"/>
  <c r="AE245" i="2"/>
  <c r="AF245" i="2" s="1"/>
  <c r="AD245" i="2"/>
  <c r="AR244" i="2"/>
  <c r="AQ244" i="2"/>
  <c r="AP244" i="2"/>
  <c r="AO244" i="2"/>
  <c r="AN244" i="2"/>
  <c r="AM244" i="2"/>
  <c r="AL244" i="2"/>
  <c r="AK244" i="2"/>
  <c r="AJ244" i="2"/>
  <c r="AI244" i="2"/>
  <c r="AH244" i="2"/>
  <c r="AE244" i="2"/>
  <c r="AF244" i="2" s="1"/>
  <c r="AD244" i="2"/>
  <c r="AR243" i="2"/>
  <c r="AQ243" i="2"/>
  <c r="AP243" i="2"/>
  <c r="AO243" i="2"/>
  <c r="AN243" i="2"/>
  <c r="AM243" i="2"/>
  <c r="AL243" i="2"/>
  <c r="AK243" i="2"/>
  <c r="AJ243" i="2"/>
  <c r="AI243" i="2"/>
  <c r="AH243" i="2"/>
  <c r="AE243" i="2"/>
  <c r="AF243" i="2" s="1"/>
  <c r="AD243" i="2"/>
  <c r="AR242" i="2"/>
  <c r="AQ242" i="2"/>
  <c r="AP242" i="2"/>
  <c r="AO242" i="2"/>
  <c r="AN242" i="2"/>
  <c r="AM242" i="2"/>
  <c r="AL242" i="2"/>
  <c r="AK242" i="2"/>
  <c r="AJ242" i="2"/>
  <c r="AI242" i="2"/>
  <c r="AH242" i="2"/>
  <c r="AE242" i="2"/>
  <c r="AF242" i="2" s="1"/>
  <c r="AD242" i="2"/>
  <c r="AR241" i="2"/>
  <c r="AQ241" i="2"/>
  <c r="AP241" i="2"/>
  <c r="AO241" i="2"/>
  <c r="AN241" i="2"/>
  <c r="AM241" i="2"/>
  <c r="AL241" i="2"/>
  <c r="AK241" i="2"/>
  <c r="AJ241" i="2"/>
  <c r="AI241" i="2"/>
  <c r="AH241" i="2"/>
  <c r="AE241" i="2"/>
  <c r="AF241" i="2" s="1"/>
  <c r="AD241" i="2"/>
  <c r="AR240" i="2"/>
  <c r="AQ240" i="2"/>
  <c r="AP240" i="2"/>
  <c r="AO240" i="2"/>
  <c r="AN240" i="2"/>
  <c r="AM240" i="2"/>
  <c r="AL240" i="2"/>
  <c r="AK240" i="2"/>
  <c r="AJ240" i="2"/>
  <c r="AI240" i="2"/>
  <c r="AH240" i="2"/>
  <c r="AE240" i="2"/>
  <c r="AF240" i="2" s="1"/>
  <c r="AD240" i="2"/>
  <c r="AR239" i="2"/>
  <c r="AQ239" i="2"/>
  <c r="AP239" i="2"/>
  <c r="AO239" i="2"/>
  <c r="AN239" i="2"/>
  <c r="AM239" i="2"/>
  <c r="AL239" i="2"/>
  <c r="AK239" i="2"/>
  <c r="AJ239" i="2"/>
  <c r="AI239" i="2"/>
  <c r="AH239" i="2"/>
  <c r="AE239" i="2"/>
  <c r="AF239" i="2" s="1"/>
  <c r="AD239" i="2"/>
  <c r="AR238" i="2"/>
  <c r="AQ238" i="2"/>
  <c r="AP238" i="2"/>
  <c r="AO238" i="2"/>
  <c r="AN238" i="2"/>
  <c r="AM238" i="2"/>
  <c r="AL238" i="2"/>
  <c r="AK238" i="2"/>
  <c r="AJ238" i="2"/>
  <c r="AI238" i="2"/>
  <c r="AH238" i="2"/>
  <c r="AE238" i="2"/>
  <c r="AF238" i="2" s="1"/>
  <c r="AD238" i="2"/>
  <c r="AR237" i="2"/>
  <c r="AQ237" i="2"/>
  <c r="AP237" i="2"/>
  <c r="AO237" i="2"/>
  <c r="AN237" i="2"/>
  <c r="AM237" i="2"/>
  <c r="AL237" i="2"/>
  <c r="AK237" i="2"/>
  <c r="AJ237" i="2"/>
  <c r="AI237" i="2"/>
  <c r="AH237" i="2"/>
  <c r="AE237" i="2"/>
  <c r="AF237" i="2" s="1"/>
  <c r="AD237" i="2"/>
  <c r="AR236" i="2"/>
  <c r="AQ236" i="2"/>
  <c r="AP236" i="2"/>
  <c r="AO236" i="2"/>
  <c r="AN236" i="2"/>
  <c r="AM236" i="2"/>
  <c r="AL236" i="2"/>
  <c r="AK236" i="2"/>
  <c r="AJ236" i="2"/>
  <c r="AI236" i="2"/>
  <c r="AH236" i="2"/>
  <c r="AE236" i="2"/>
  <c r="AF236" i="2" s="1"/>
  <c r="AD236" i="2"/>
  <c r="AR235" i="2"/>
  <c r="AQ235" i="2"/>
  <c r="AP235" i="2"/>
  <c r="AO235" i="2"/>
  <c r="AN235" i="2"/>
  <c r="AM235" i="2"/>
  <c r="AL235" i="2"/>
  <c r="AK235" i="2"/>
  <c r="AJ235" i="2"/>
  <c r="AI235" i="2"/>
  <c r="AH235" i="2"/>
  <c r="AE235" i="2"/>
  <c r="AF235" i="2" s="1"/>
  <c r="AD235" i="2"/>
  <c r="AR234" i="2"/>
  <c r="AQ234" i="2"/>
  <c r="AP234" i="2"/>
  <c r="AO234" i="2"/>
  <c r="AN234" i="2"/>
  <c r="AM234" i="2"/>
  <c r="AL234" i="2"/>
  <c r="AK234" i="2"/>
  <c r="AJ234" i="2"/>
  <c r="AI234" i="2"/>
  <c r="AH234" i="2"/>
  <c r="AE234" i="2"/>
  <c r="AF234" i="2" s="1"/>
  <c r="AD234" i="2"/>
  <c r="AR232" i="2"/>
  <c r="AQ232" i="2"/>
  <c r="AP232" i="2"/>
  <c r="AO232" i="2"/>
  <c r="AN232" i="2"/>
  <c r="AM232" i="2"/>
  <c r="AL232" i="2"/>
  <c r="AK232" i="2"/>
  <c r="AJ232" i="2"/>
  <c r="AI232" i="2"/>
  <c r="AH232" i="2"/>
  <c r="AE232" i="2"/>
  <c r="AF232" i="2" s="1"/>
  <c r="AD232" i="2"/>
  <c r="AR231" i="2"/>
  <c r="AQ231" i="2"/>
  <c r="AP231" i="2"/>
  <c r="AO231" i="2"/>
  <c r="AN231" i="2"/>
  <c r="AM231" i="2"/>
  <c r="AL231" i="2"/>
  <c r="AK231" i="2"/>
  <c r="AJ231" i="2"/>
  <c r="AI231" i="2"/>
  <c r="AH231" i="2"/>
  <c r="AE231" i="2"/>
  <c r="AF231" i="2" s="1"/>
  <c r="AD231" i="2"/>
  <c r="AR230" i="2"/>
  <c r="AQ230" i="2"/>
  <c r="AP230" i="2"/>
  <c r="AO230" i="2"/>
  <c r="AN230" i="2"/>
  <c r="AM230" i="2"/>
  <c r="AL230" i="2"/>
  <c r="AK230" i="2"/>
  <c r="AJ230" i="2"/>
  <c r="AI230" i="2"/>
  <c r="AH230" i="2"/>
  <c r="AE230" i="2"/>
  <c r="AF230" i="2" s="1"/>
  <c r="AD230" i="2"/>
  <c r="AR229" i="2"/>
  <c r="AQ229" i="2"/>
  <c r="AP229" i="2"/>
  <c r="AO229" i="2"/>
  <c r="AN229" i="2"/>
  <c r="AM229" i="2"/>
  <c r="AL229" i="2"/>
  <c r="AK229" i="2"/>
  <c r="AJ229" i="2"/>
  <c r="AI229" i="2"/>
  <c r="AH229" i="2"/>
  <c r="AE229" i="2"/>
  <c r="AF229" i="2" s="1"/>
  <c r="AD229" i="2"/>
  <c r="AR228" i="2"/>
  <c r="AQ228" i="2"/>
  <c r="AP228" i="2"/>
  <c r="AO228" i="2"/>
  <c r="AN228" i="2"/>
  <c r="AM228" i="2"/>
  <c r="AL228" i="2"/>
  <c r="AK228" i="2"/>
  <c r="AJ228" i="2"/>
  <c r="AI228" i="2"/>
  <c r="AH228" i="2"/>
  <c r="AE228" i="2"/>
  <c r="AF228" i="2" s="1"/>
  <c r="AD228" i="2"/>
  <c r="AR227" i="2"/>
  <c r="AQ227" i="2"/>
  <c r="AP227" i="2"/>
  <c r="AO227" i="2"/>
  <c r="AN227" i="2"/>
  <c r="AM227" i="2"/>
  <c r="AL227" i="2"/>
  <c r="AK227" i="2"/>
  <c r="AJ227" i="2"/>
  <c r="AI227" i="2"/>
  <c r="AH227" i="2"/>
  <c r="AE227" i="2"/>
  <c r="AF227" i="2" s="1"/>
  <c r="AD227" i="2"/>
  <c r="AR226" i="2"/>
  <c r="AQ226" i="2"/>
  <c r="AP226" i="2"/>
  <c r="AO226" i="2"/>
  <c r="AN226" i="2"/>
  <c r="AM226" i="2"/>
  <c r="AL226" i="2"/>
  <c r="AK226" i="2"/>
  <c r="AJ226" i="2"/>
  <c r="AI226" i="2"/>
  <c r="AH226" i="2"/>
  <c r="AE226" i="2"/>
  <c r="AF226" i="2" s="1"/>
  <c r="AD226" i="2"/>
  <c r="AR225" i="2"/>
  <c r="AQ225" i="2"/>
  <c r="AP225" i="2"/>
  <c r="AO225" i="2"/>
  <c r="AN225" i="2"/>
  <c r="AM225" i="2"/>
  <c r="AL225" i="2"/>
  <c r="AK225" i="2"/>
  <c r="AJ225" i="2"/>
  <c r="AI225" i="2"/>
  <c r="AH225" i="2"/>
  <c r="AE225" i="2"/>
  <c r="AF225" i="2" s="1"/>
  <c r="AD225" i="2"/>
  <c r="AR223" i="2"/>
  <c r="AQ223" i="2"/>
  <c r="AP223" i="2"/>
  <c r="AO223" i="2"/>
  <c r="AN223" i="2"/>
  <c r="AM223" i="2"/>
  <c r="AL223" i="2"/>
  <c r="AK223" i="2"/>
  <c r="AJ223" i="2"/>
  <c r="AI223" i="2"/>
  <c r="AH223" i="2"/>
  <c r="AE223" i="2"/>
  <c r="AF223" i="2" s="1"/>
  <c r="AD223" i="2"/>
  <c r="AR222" i="2"/>
  <c r="AQ222" i="2"/>
  <c r="AP222" i="2"/>
  <c r="AO222" i="2"/>
  <c r="AN222" i="2"/>
  <c r="AM222" i="2"/>
  <c r="AL222" i="2"/>
  <c r="AK222" i="2"/>
  <c r="AJ222" i="2"/>
  <c r="AI222" i="2"/>
  <c r="AH222" i="2"/>
  <c r="AE222" i="2"/>
  <c r="AF222" i="2" s="1"/>
  <c r="AD222" i="2"/>
  <c r="AR221" i="2"/>
  <c r="AQ221" i="2"/>
  <c r="AP221" i="2"/>
  <c r="AO221" i="2"/>
  <c r="AN221" i="2"/>
  <c r="AM221" i="2"/>
  <c r="AL221" i="2"/>
  <c r="AK221" i="2"/>
  <c r="AJ221" i="2"/>
  <c r="AI221" i="2"/>
  <c r="AH221" i="2"/>
  <c r="AE221" i="2"/>
  <c r="AF221" i="2" s="1"/>
  <c r="AD221" i="2"/>
  <c r="AR220" i="2"/>
  <c r="AQ220" i="2"/>
  <c r="AP220" i="2"/>
  <c r="AO220" i="2"/>
  <c r="AN220" i="2"/>
  <c r="AM220" i="2"/>
  <c r="AL220" i="2"/>
  <c r="AK220" i="2"/>
  <c r="AJ220" i="2"/>
  <c r="AI220" i="2"/>
  <c r="AH220" i="2"/>
  <c r="AE220" i="2"/>
  <c r="AF220" i="2" s="1"/>
  <c r="AD220" i="2"/>
  <c r="AR219" i="2"/>
  <c r="AQ219" i="2"/>
  <c r="AP219" i="2"/>
  <c r="AO219" i="2"/>
  <c r="AN219" i="2"/>
  <c r="AM219" i="2"/>
  <c r="AL219" i="2"/>
  <c r="AK219" i="2"/>
  <c r="AJ219" i="2"/>
  <c r="AI219" i="2"/>
  <c r="AH219" i="2"/>
  <c r="AE219" i="2"/>
  <c r="AF219" i="2" s="1"/>
  <c r="AD219" i="2"/>
  <c r="AR218" i="2"/>
  <c r="AQ218" i="2"/>
  <c r="AP218" i="2"/>
  <c r="AO218" i="2"/>
  <c r="AN218" i="2"/>
  <c r="AM218" i="2"/>
  <c r="AL218" i="2"/>
  <c r="AK218" i="2"/>
  <c r="AJ218" i="2"/>
  <c r="AI218" i="2"/>
  <c r="AH218" i="2"/>
  <c r="AE218" i="2"/>
  <c r="AF218" i="2" s="1"/>
  <c r="AD218" i="2"/>
  <c r="AR217" i="2"/>
  <c r="AQ217" i="2"/>
  <c r="AP217" i="2"/>
  <c r="AO217" i="2"/>
  <c r="AN217" i="2"/>
  <c r="AM217" i="2"/>
  <c r="AL217" i="2"/>
  <c r="AK217" i="2"/>
  <c r="AJ217" i="2"/>
  <c r="AI217" i="2"/>
  <c r="AH217" i="2"/>
  <c r="AE217" i="2"/>
  <c r="AF217" i="2" s="1"/>
  <c r="AD217" i="2"/>
  <c r="AR216" i="2"/>
  <c r="AQ216" i="2"/>
  <c r="AP216" i="2"/>
  <c r="AO216" i="2"/>
  <c r="AN216" i="2"/>
  <c r="AM216" i="2"/>
  <c r="AL216" i="2"/>
  <c r="AK216" i="2"/>
  <c r="AJ216" i="2"/>
  <c r="AI216" i="2"/>
  <c r="AH216" i="2"/>
  <c r="AE216" i="2"/>
  <c r="AF216" i="2" s="1"/>
  <c r="AD216" i="2"/>
  <c r="AR215" i="2"/>
  <c r="AQ215" i="2"/>
  <c r="AP215" i="2"/>
  <c r="AO215" i="2"/>
  <c r="AN215" i="2"/>
  <c r="AM215" i="2"/>
  <c r="AL215" i="2"/>
  <c r="AK215" i="2"/>
  <c r="AJ215" i="2"/>
  <c r="AI215" i="2"/>
  <c r="AH215" i="2"/>
  <c r="AE215" i="2"/>
  <c r="AF215" i="2" s="1"/>
  <c r="AD215" i="2"/>
  <c r="AR214" i="2"/>
  <c r="AQ214" i="2"/>
  <c r="AP214" i="2"/>
  <c r="AO214" i="2"/>
  <c r="AN214" i="2"/>
  <c r="AM214" i="2"/>
  <c r="AL214" i="2"/>
  <c r="AK214" i="2"/>
  <c r="AJ214" i="2"/>
  <c r="AI214" i="2"/>
  <c r="AH214" i="2"/>
  <c r="AE214" i="2"/>
  <c r="AF214" i="2" s="1"/>
  <c r="AD214" i="2"/>
  <c r="AR213" i="2"/>
  <c r="AQ213" i="2"/>
  <c r="AP213" i="2"/>
  <c r="AO213" i="2"/>
  <c r="AN213" i="2"/>
  <c r="AM213" i="2"/>
  <c r="AL213" i="2"/>
  <c r="AK213" i="2"/>
  <c r="AJ213" i="2"/>
  <c r="AI213" i="2"/>
  <c r="AH213" i="2"/>
  <c r="AE213" i="2"/>
  <c r="AF213" i="2" s="1"/>
  <c r="AD213" i="2"/>
  <c r="AR209" i="2"/>
  <c r="AQ209" i="2"/>
  <c r="AP209" i="2"/>
  <c r="AO209" i="2"/>
  <c r="AN209" i="2"/>
  <c r="AM209" i="2"/>
  <c r="AL209" i="2"/>
  <c r="AK209" i="2"/>
  <c r="AJ209" i="2"/>
  <c r="AI209" i="2"/>
  <c r="AH209" i="2"/>
  <c r="AE209" i="2"/>
  <c r="AF209" i="2" s="1"/>
  <c r="AD209" i="2"/>
  <c r="AR208" i="2"/>
  <c r="AQ208" i="2"/>
  <c r="AP208" i="2"/>
  <c r="AO208" i="2"/>
  <c r="AN208" i="2"/>
  <c r="AM208" i="2"/>
  <c r="AL208" i="2"/>
  <c r="AK208" i="2"/>
  <c r="AJ208" i="2"/>
  <c r="AI208" i="2"/>
  <c r="AH208" i="2"/>
  <c r="AE208" i="2"/>
  <c r="AF208" i="2" s="1"/>
  <c r="AD208" i="2"/>
  <c r="AR207" i="2"/>
  <c r="AQ207" i="2"/>
  <c r="AP207" i="2"/>
  <c r="AO207" i="2"/>
  <c r="AN207" i="2"/>
  <c r="AM207" i="2"/>
  <c r="AL207" i="2"/>
  <c r="AK207" i="2"/>
  <c r="AJ207" i="2"/>
  <c r="AI207" i="2"/>
  <c r="AH207" i="2"/>
  <c r="AE207" i="2"/>
  <c r="AF207" i="2" s="1"/>
  <c r="AD207" i="2"/>
  <c r="AR206" i="2"/>
  <c r="AQ206" i="2"/>
  <c r="AP206" i="2"/>
  <c r="AO206" i="2"/>
  <c r="AN206" i="2"/>
  <c r="AM206" i="2"/>
  <c r="AL206" i="2"/>
  <c r="AK206" i="2"/>
  <c r="AJ206" i="2"/>
  <c r="AI206" i="2"/>
  <c r="AH206" i="2"/>
  <c r="AE206" i="2"/>
  <c r="AF206" i="2" s="1"/>
  <c r="AD206" i="2"/>
  <c r="AR205" i="2"/>
  <c r="AQ205" i="2"/>
  <c r="AP205" i="2"/>
  <c r="AO205" i="2"/>
  <c r="AN205" i="2"/>
  <c r="AM205" i="2"/>
  <c r="AL205" i="2"/>
  <c r="AK205" i="2"/>
  <c r="AJ205" i="2"/>
  <c r="AI205" i="2"/>
  <c r="AH205" i="2"/>
  <c r="AE205" i="2"/>
  <c r="AF205" i="2" s="1"/>
  <c r="AD205" i="2"/>
  <c r="AR203" i="2"/>
  <c r="AQ203" i="2"/>
  <c r="AP203" i="2"/>
  <c r="AO203" i="2"/>
  <c r="AN203" i="2"/>
  <c r="AM203" i="2"/>
  <c r="AL203" i="2"/>
  <c r="AK203" i="2"/>
  <c r="AJ203" i="2"/>
  <c r="AI203" i="2"/>
  <c r="AH203" i="2"/>
  <c r="AE203" i="2"/>
  <c r="AF203" i="2" s="1"/>
  <c r="AD203" i="2"/>
  <c r="AR204" i="2"/>
  <c r="AQ204" i="2"/>
  <c r="AP204" i="2"/>
  <c r="AO204" i="2"/>
  <c r="AN204" i="2"/>
  <c r="AM204" i="2"/>
  <c r="AL204" i="2"/>
  <c r="AK204" i="2"/>
  <c r="AJ204" i="2"/>
  <c r="AI204" i="2"/>
  <c r="AH204" i="2"/>
  <c r="AE204" i="2"/>
  <c r="AF204" i="2" s="1"/>
  <c r="AD204" i="2"/>
  <c r="AR202" i="2"/>
  <c r="AQ202" i="2"/>
  <c r="AP202" i="2"/>
  <c r="AO202" i="2"/>
  <c r="AN202" i="2"/>
  <c r="AM202" i="2"/>
  <c r="AL202" i="2"/>
  <c r="AK202" i="2"/>
  <c r="AJ202" i="2"/>
  <c r="AI202" i="2"/>
  <c r="AH202" i="2"/>
  <c r="AE202" i="2"/>
  <c r="AF202" i="2" s="1"/>
  <c r="AD202" i="2"/>
  <c r="AR201" i="2"/>
  <c r="AQ201" i="2"/>
  <c r="AP201" i="2"/>
  <c r="AO201" i="2"/>
  <c r="AN201" i="2"/>
  <c r="AM201" i="2"/>
  <c r="AL201" i="2"/>
  <c r="AK201" i="2"/>
  <c r="AJ201" i="2"/>
  <c r="AI201" i="2"/>
  <c r="AH201" i="2"/>
  <c r="AE201" i="2"/>
  <c r="AF201" i="2" s="1"/>
  <c r="AD201" i="2"/>
  <c r="AR200" i="2"/>
  <c r="AQ200" i="2"/>
  <c r="AP200" i="2"/>
  <c r="AO200" i="2"/>
  <c r="AN200" i="2"/>
  <c r="AM200" i="2"/>
  <c r="AL200" i="2"/>
  <c r="AK200" i="2"/>
  <c r="AJ200" i="2"/>
  <c r="AI200" i="2"/>
  <c r="AH200" i="2"/>
  <c r="AE200" i="2"/>
  <c r="AF200" i="2" s="1"/>
  <c r="AD200" i="2"/>
  <c r="AR199" i="2"/>
  <c r="AQ199" i="2"/>
  <c r="AP199" i="2"/>
  <c r="AO199" i="2"/>
  <c r="AN199" i="2"/>
  <c r="AM199" i="2"/>
  <c r="AL199" i="2"/>
  <c r="AK199" i="2"/>
  <c r="AJ199" i="2"/>
  <c r="AI199" i="2"/>
  <c r="AH199" i="2"/>
  <c r="AE199" i="2"/>
  <c r="AF199" i="2" s="1"/>
  <c r="AD199" i="2"/>
  <c r="AR198" i="2"/>
  <c r="AQ198" i="2"/>
  <c r="AP198" i="2"/>
  <c r="AO198" i="2"/>
  <c r="AN198" i="2"/>
  <c r="AM198" i="2"/>
  <c r="AL198" i="2"/>
  <c r="AK198" i="2"/>
  <c r="AJ198" i="2"/>
  <c r="AI198" i="2"/>
  <c r="AH198" i="2"/>
  <c r="AE198" i="2"/>
  <c r="AF198" i="2" s="1"/>
  <c r="AD198" i="2"/>
  <c r="AR197" i="2"/>
  <c r="AQ197" i="2"/>
  <c r="AP197" i="2"/>
  <c r="AO197" i="2"/>
  <c r="AN197" i="2"/>
  <c r="AM197" i="2"/>
  <c r="AL197" i="2"/>
  <c r="AK197" i="2"/>
  <c r="AJ197" i="2"/>
  <c r="AI197" i="2"/>
  <c r="AH197" i="2"/>
  <c r="AE197" i="2"/>
  <c r="AF197" i="2" s="1"/>
  <c r="AD197" i="2"/>
  <c r="AR196" i="2"/>
  <c r="AQ196" i="2"/>
  <c r="AP196" i="2"/>
  <c r="AO196" i="2"/>
  <c r="AN196" i="2"/>
  <c r="AM196" i="2"/>
  <c r="AL196" i="2"/>
  <c r="AK196" i="2"/>
  <c r="AJ196" i="2"/>
  <c r="AI196" i="2"/>
  <c r="AH196" i="2"/>
  <c r="AE196" i="2"/>
  <c r="AF196" i="2" s="1"/>
  <c r="AD196" i="2"/>
  <c r="AR195" i="2"/>
  <c r="AQ195" i="2"/>
  <c r="AP195" i="2"/>
  <c r="AO195" i="2"/>
  <c r="AN195" i="2"/>
  <c r="AM195" i="2"/>
  <c r="AL195" i="2"/>
  <c r="AK195" i="2"/>
  <c r="AJ195" i="2"/>
  <c r="AI195" i="2"/>
  <c r="AH195" i="2"/>
  <c r="AE195" i="2"/>
  <c r="AF195" i="2" s="1"/>
  <c r="AD195" i="2"/>
  <c r="AR194" i="2"/>
  <c r="AQ194" i="2"/>
  <c r="AP194" i="2"/>
  <c r="AO194" i="2"/>
  <c r="AN194" i="2"/>
  <c r="AM194" i="2"/>
  <c r="AL194" i="2"/>
  <c r="AK194" i="2"/>
  <c r="AJ194" i="2"/>
  <c r="AI194" i="2"/>
  <c r="AH194" i="2"/>
  <c r="AE194" i="2"/>
  <c r="AF194" i="2" s="1"/>
  <c r="AD194" i="2"/>
  <c r="AR193" i="2"/>
  <c r="AQ193" i="2"/>
  <c r="AP193" i="2"/>
  <c r="AO193" i="2"/>
  <c r="AN193" i="2"/>
  <c r="AM193" i="2"/>
  <c r="AL193" i="2"/>
  <c r="AK193" i="2"/>
  <c r="AJ193" i="2"/>
  <c r="AI193" i="2"/>
  <c r="AH193" i="2"/>
  <c r="AE193" i="2"/>
  <c r="AF193" i="2" s="1"/>
  <c r="AD193" i="2"/>
  <c r="AR192" i="2"/>
  <c r="AQ192" i="2"/>
  <c r="AP192" i="2"/>
  <c r="AO192" i="2"/>
  <c r="AN192" i="2"/>
  <c r="AM192" i="2"/>
  <c r="AL192" i="2"/>
  <c r="AK192" i="2"/>
  <c r="AJ192" i="2"/>
  <c r="AI192" i="2"/>
  <c r="AH192" i="2"/>
  <c r="AE192" i="2"/>
  <c r="AF192" i="2" s="1"/>
  <c r="AD192" i="2"/>
  <c r="AR191" i="2"/>
  <c r="AQ191" i="2"/>
  <c r="AP191" i="2"/>
  <c r="AO191" i="2"/>
  <c r="AN191" i="2"/>
  <c r="AM191" i="2"/>
  <c r="AL191" i="2"/>
  <c r="AK191" i="2"/>
  <c r="AJ191" i="2"/>
  <c r="AI191" i="2"/>
  <c r="AH191" i="2"/>
  <c r="AE191" i="2"/>
  <c r="AF191" i="2" s="1"/>
  <c r="AD191" i="2"/>
  <c r="AR190" i="2"/>
  <c r="AQ190" i="2"/>
  <c r="AP190" i="2"/>
  <c r="AO190" i="2"/>
  <c r="AN190" i="2"/>
  <c r="AM190" i="2"/>
  <c r="AL190" i="2"/>
  <c r="AK190" i="2"/>
  <c r="AJ190" i="2"/>
  <c r="AI190" i="2"/>
  <c r="AH190" i="2"/>
  <c r="AE190" i="2"/>
  <c r="AF190" i="2" s="1"/>
  <c r="AD190" i="2"/>
  <c r="AR189" i="2"/>
  <c r="AQ189" i="2"/>
  <c r="AP189" i="2"/>
  <c r="AO189" i="2"/>
  <c r="AN189" i="2"/>
  <c r="AM189" i="2"/>
  <c r="AL189" i="2"/>
  <c r="AK189" i="2"/>
  <c r="AJ189" i="2"/>
  <c r="AI189" i="2"/>
  <c r="AH189" i="2"/>
  <c r="AE189" i="2"/>
  <c r="AF189" i="2" s="1"/>
  <c r="AD189" i="2"/>
  <c r="AR188" i="2"/>
  <c r="AQ188" i="2"/>
  <c r="AP188" i="2"/>
  <c r="AO188" i="2"/>
  <c r="AN188" i="2"/>
  <c r="AM188" i="2"/>
  <c r="AL188" i="2"/>
  <c r="AK188" i="2"/>
  <c r="AJ188" i="2"/>
  <c r="AI188" i="2"/>
  <c r="AH188" i="2"/>
  <c r="AE188" i="2"/>
  <c r="AF188" i="2" s="1"/>
  <c r="AD188" i="2"/>
  <c r="AR187" i="2"/>
  <c r="AQ187" i="2"/>
  <c r="AP187" i="2"/>
  <c r="AO187" i="2"/>
  <c r="AN187" i="2"/>
  <c r="AM187" i="2"/>
  <c r="AL187" i="2"/>
  <c r="AK187" i="2"/>
  <c r="AJ187" i="2"/>
  <c r="AI187" i="2"/>
  <c r="AH187" i="2"/>
  <c r="AE187" i="2"/>
  <c r="AF187" i="2" s="1"/>
  <c r="AD187" i="2"/>
  <c r="AR186" i="2"/>
  <c r="AQ186" i="2"/>
  <c r="AP186" i="2"/>
  <c r="AO186" i="2"/>
  <c r="AN186" i="2"/>
  <c r="AM186" i="2"/>
  <c r="AL186" i="2"/>
  <c r="AK186" i="2"/>
  <c r="AJ186" i="2"/>
  <c r="AI186" i="2"/>
  <c r="AH186" i="2"/>
  <c r="AE186" i="2"/>
  <c r="AF186" i="2" s="1"/>
  <c r="AD186" i="2"/>
  <c r="AR185" i="2"/>
  <c r="AQ185" i="2"/>
  <c r="AP185" i="2"/>
  <c r="AO185" i="2"/>
  <c r="AN185" i="2"/>
  <c r="AM185" i="2"/>
  <c r="AL185" i="2"/>
  <c r="AK185" i="2"/>
  <c r="AJ185" i="2"/>
  <c r="AI185" i="2"/>
  <c r="AH185" i="2"/>
  <c r="AE185" i="2"/>
  <c r="AF185" i="2" s="1"/>
  <c r="AD185" i="2"/>
  <c r="AR184" i="2"/>
  <c r="AQ184" i="2"/>
  <c r="AP184" i="2"/>
  <c r="AO184" i="2"/>
  <c r="AN184" i="2"/>
  <c r="AM184" i="2"/>
  <c r="AL184" i="2"/>
  <c r="AK184" i="2"/>
  <c r="AJ184" i="2"/>
  <c r="AI184" i="2"/>
  <c r="AH184" i="2"/>
  <c r="AE184" i="2"/>
  <c r="AF184" i="2" s="1"/>
  <c r="AD184" i="2"/>
  <c r="AR183" i="2"/>
  <c r="AQ183" i="2"/>
  <c r="AP183" i="2"/>
  <c r="AO183" i="2"/>
  <c r="AN183" i="2"/>
  <c r="AM183" i="2"/>
  <c r="AL183" i="2"/>
  <c r="AK183" i="2"/>
  <c r="AJ183" i="2"/>
  <c r="AI183" i="2"/>
  <c r="AH183" i="2"/>
  <c r="AE183" i="2"/>
  <c r="AF183" i="2" s="1"/>
  <c r="AD183" i="2"/>
  <c r="AR182" i="2"/>
  <c r="AQ182" i="2"/>
  <c r="AP182" i="2"/>
  <c r="AO182" i="2"/>
  <c r="AN182" i="2"/>
  <c r="AM182" i="2"/>
  <c r="AL182" i="2"/>
  <c r="AK182" i="2"/>
  <c r="AJ182" i="2"/>
  <c r="AI182" i="2"/>
  <c r="AH182" i="2"/>
  <c r="AE182" i="2"/>
  <c r="AF182" i="2" s="1"/>
  <c r="AD182" i="2"/>
  <c r="AR181" i="2"/>
  <c r="AQ181" i="2"/>
  <c r="AP181" i="2"/>
  <c r="AO181" i="2"/>
  <c r="AN181" i="2"/>
  <c r="AM181" i="2"/>
  <c r="AL181" i="2"/>
  <c r="AK181" i="2"/>
  <c r="AJ181" i="2"/>
  <c r="AI181" i="2"/>
  <c r="AH181" i="2"/>
  <c r="AE181" i="2"/>
  <c r="AF181" i="2" s="1"/>
  <c r="AD181" i="2"/>
  <c r="AR180" i="2"/>
  <c r="AQ180" i="2"/>
  <c r="AP180" i="2"/>
  <c r="AO180" i="2"/>
  <c r="AN180" i="2"/>
  <c r="AM180" i="2"/>
  <c r="AL180" i="2"/>
  <c r="AK180" i="2"/>
  <c r="AJ180" i="2"/>
  <c r="AI180" i="2"/>
  <c r="AH180" i="2"/>
  <c r="AE180" i="2"/>
  <c r="AF180" i="2" s="1"/>
  <c r="AD180" i="2"/>
  <c r="AR179" i="2"/>
  <c r="AQ179" i="2"/>
  <c r="AP179" i="2"/>
  <c r="AO179" i="2"/>
  <c r="AN179" i="2"/>
  <c r="AM179" i="2"/>
  <c r="AL179" i="2"/>
  <c r="AK179" i="2"/>
  <c r="AJ179" i="2"/>
  <c r="AI179" i="2"/>
  <c r="AH179" i="2"/>
  <c r="AE179" i="2"/>
  <c r="AF179" i="2" s="1"/>
  <c r="AD179" i="2"/>
  <c r="AR178" i="2"/>
  <c r="AQ178" i="2"/>
  <c r="AP178" i="2"/>
  <c r="AO178" i="2"/>
  <c r="AN178" i="2"/>
  <c r="AM178" i="2"/>
  <c r="AL178" i="2"/>
  <c r="AK178" i="2"/>
  <c r="AJ178" i="2"/>
  <c r="AI178" i="2"/>
  <c r="AH178" i="2"/>
  <c r="AE178" i="2"/>
  <c r="AF178" i="2" s="1"/>
  <c r="AD178" i="2"/>
  <c r="AR177" i="2"/>
  <c r="AQ177" i="2"/>
  <c r="AP177" i="2"/>
  <c r="AO177" i="2"/>
  <c r="AN177" i="2"/>
  <c r="AM177" i="2"/>
  <c r="AL177" i="2"/>
  <c r="AK177" i="2"/>
  <c r="AJ177" i="2"/>
  <c r="AI177" i="2"/>
  <c r="AH177" i="2"/>
  <c r="AE177" i="2"/>
  <c r="AF177" i="2" s="1"/>
  <c r="AD177" i="2"/>
  <c r="AR176" i="2"/>
  <c r="AQ176" i="2"/>
  <c r="AP176" i="2"/>
  <c r="AO176" i="2"/>
  <c r="AN176" i="2"/>
  <c r="AM176" i="2"/>
  <c r="AL176" i="2"/>
  <c r="AK176" i="2"/>
  <c r="AJ176" i="2"/>
  <c r="AI176" i="2"/>
  <c r="AH176" i="2"/>
  <c r="AE176" i="2"/>
  <c r="AF176" i="2" s="1"/>
  <c r="AD176" i="2"/>
  <c r="AR175" i="2"/>
  <c r="AQ175" i="2"/>
  <c r="AP175" i="2"/>
  <c r="AO175" i="2"/>
  <c r="AN175" i="2"/>
  <c r="AM175" i="2"/>
  <c r="AL175" i="2"/>
  <c r="AK175" i="2"/>
  <c r="AJ175" i="2"/>
  <c r="AI175" i="2"/>
  <c r="AH175" i="2"/>
  <c r="AE175" i="2"/>
  <c r="AF175" i="2" s="1"/>
  <c r="AD175" i="2"/>
  <c r="AR174" i="2"/>
  <c r="AQ174" i="2"/>
  <c r="AP174" i="2"/>
  <c r="AO174" i="2"/>
  <c r="AN174" i="2"/>
  <c r="AM174" i="2"/>
  <c r="AL174" i="2"/>
  <c r="AK174" i="2"/>
  <c r="AJ174" i="2"/>
  <c r="AI174" i="2"/>
  <c r="AH174" i="2"/>
  <c r="AE174" i="2"/>
  <c r="AF174" i="2" s="1"/>
  <c r="AD174" i="2"/>
  <c r="AR173" i="2"/>
  <c r="AQ173" i="2"/>
  <c r="AP173" i="2"/>
  <c r="AO173" i="2"/>
  <c r="AN173" i="2"/>
  <c r="AM173" i="2"/>
  <c r="AL173" i="2"/>
  <c r="AK173" i="2"/>
  <c r="AJ173" i="2"/>
  <c r="AI173" i="2"/>
  <c r="AH173" i="2"/>
  <c r="AE173" i="2"/>
  <c r="AF173" i="2" s="1"/>
  <c r="AD173" i="2"/>
  <c r="AR172" i="2"/>
  <c r="AQ172" i="2"/>
  <c r="AP172" i="2"/>
  <c r="AO172" i="2"/>
  <c r="AN172" i="2"/>
  <c r="AM172" i="2"/>
  <c r="AL172" i="2"/>
  <c r="AK172" i="2"/>
  <c r="AJ172" i="2"/>
  <c r="AI172" i="2"/>
  <c r="AH172" i="2"/>
  <c r="AE172" i="2"/>
  <c r="AF172" i="2" s="1"/>
  <c r="AD172" i="2"/>
  <c r="AR171" i="2"/>
  <c r="AQ171" i="2"/>
  <c r="AP171" i="2"/>
  <c r="AO171" i="2"/>
  <c r="AN171" i="2"/>
  <c r="AM171" i="2"/>
  <c r="AL171" i="2"/>
  <c r="AK171" i="2"/>
  <c r="AJ171" i="2"/>
  <c r="AI171" i="2"/>
  <c r="AH171" i="2"/>
  <c r="AE171" i="2"/>
  <c r="AF171" i="2" s="1"/>
  <c r="AD171" i="2"/>
  <c r="AR170" i="2"/>
  <c r="AQ170" i="2"/>
  <c r="AP170" i="2"/>
  <c r="AO170" i="2"/>
  <c r="AN170" i="2"/>
  <c r="AM170" i="2"/>
  <c r="AL170" i="2"/>
  <c r="AK170" i="2"/>
  <c r="AJ170" i="2"/>
  <c r="AI170" i="2"/>
  <c r="AH170" i="2"/>
  <c r="AE170" i="2"/>
  <c r="AF170" i="2" s="1"/>
  <c r="AD170" i="2"/>
  <c r="AR169" i="2"/>
  <c r="AQ169" i="2"/>
  <c r="AP169" i="2"/>
  <c r="AO169" i="2"/>
  <c r="AN169" i="2"/>
  <c r="AM169" i="2"/>
  <c r="AL169" i="2"/>
  <c r="AK169" i="2"/>
  <c r="AJ169" i="2"/>
  <c r="AI169" i="2"/>
  <c r="AH169" i="2"/>
  <c r="AE169" i="2"/>
  <c r="AF169" i="2" s="1"/>
  <c r="AD169" i="2"/>
  <c r="AR168" i="2"/>
  <c r="AQ168" i="2"/>
  <c r="AP168" i="2"/>
  <c r="AO168" i="2"/>
  <c r="AN168" i="2"/>
  <c r="AM168" i="2"/>
  <c r="AL168" i="2"/>
  <c r="AK168" i="2"/>
  <c r="AJ168" i="2"/>
  <c r="AI168" i="2"/>
  <c r="AH168" i="2"/>
  <c r="AE168" i="2"/>
  <c r="AF168" i="2" s="1"/>
  <c r="AD168" i="2"/>
  <c r="AR167" i="2"/>
  <c r="AQ167" i="2"/>
  <c r="AP167" i="2"/>
  <c r="AO167" i="2"/>
  <c r="AN167" i="2"/>
  <c r="AM167" i="2"/>
  <c r="AL167" i="2"/>
  <c r="AK167" i="2"/>
  <c r="AJ167" i="2"/>
  <c r="AI167" i="2"/>
  <c r="AH167" i="2"/>
  <c r="AE167" i="2"/>
  <c r="AF167" i="2" s="1"/>
  <c r="AD167" i="2"/>
  <c r="AR166" i="2"/>
  <c r="AQ166" i="2"/>
  <c r="AP166" i="2"/>
  <c r="AO166" i="2"/>
  <c r="AN166" i="2"/>
  <c r="AM166" i="2"/>
  <c r="AL166" i="2"/>
  <c r="AK166" i="2"/>
  <c r="AJ166" i="2"/>
  <c r="AI166" i="2"/>
  <c r="AH166" i="2"/>
  <c r="AE166" i="2"/>
  <c r="AF166" i="2" s="1"/>
  <c r="AD166" i="2"/>
  <c r="AR165" i="2"/>
  <c r="AQ165" i="2"/>
  <c r="AP165" i="2"/>
  <c r="AO165" i="2"/>
  <c r="AN165" i="2"/>
  <c r="AM165" i="2"/>
  <c r="AL165" i="2"/>
  <c r="AK165" i="2"/>
  <c r="AJ165" i="2"/>
  <c r="AI165" i="2"/>
  <c r="AH165" i="2"/>
  <c r="AE165" i="2"/>
  <c r="AF165" i="2" s="1"/>
  <c r="AD165" i="2"/>
  <c r="AR164" i="2"/>
  <c r="AQ164" i="2"/>
  <c r="AP164" i="2"/>
  <c r="AO164" i="2"/>
  <c r="AN164" i="2"/>
  <c r="AM164" i="2"/>
  <c r="AL164" i="2"/>
  <c r="AK164" i="2"/>
  <c r="AJ164" i="2"/>
  <c r="AI164" i="2"/>
  <c r="AH164" i="2"/>
  <c r="AE164" i="2"/>
  <c r="AF164" i="2" s="1"/>
  <c r="AD164" i="2"/>
  <c r="AR163" i="2"/>
  <c r="AQ163" i="2"/>
  <c r="AP163" i="2"/>
  <c r="AO163" i="2"/>
  <c r="AN163" i="2"/>
  <c r="AM163" i="2"/>
  <c r="AL163" i="2"/>
  <c r="AK163" i="2"/>
  <c r="AJ163" i="2"/>
  <c r="AI163" i="2"/>
  <c r="AH163" i="2"/>
  <c r="AE163" i="2"/>
  <c r="AF163" i="2" s="1"/>
  <c r="AD163" i="2"/>
  <c r="AR162" i="2"/>
  <c r="AQ162" i="2"/>
  <c r="AP162" i="2"/>
  <c r="AO162" i="2"/>
  <c r="AN162" i="2"/>
  <c r="AM162" i="2"/>
  <c r="AL162" i="2"/>
  <c r="AK162" i="2"/>
  <c r="AJ162" i="2"/>
  <c r="AI162" i="2"/>
  <c r="AH162" i="2"/>
  <c r="AE162" i="2"/>
  <c r="AF162" i="2" s="1"/>
  <c r="AD162" i="2"/>
  <c r="AR161" i="2"/>
  <c r="AQ161" i="2"/>
  <c r="AP161" i="2"/>
  <c r="AO161" i="2"/>
  <c r="AN161" i="2"/>
  <c r="AM161" i="2"/>
  <c r="AL161" i="2"/>
  <c r="AK161" i="2"/>
  <c r="AJ161" i="2"/>
  <c r="AI161" i="2"/>
  <c r="AH161" i="2"/>
  <c r="AE161" i="2"/>
  <c r="AF161" i="2" s="1"/>
  <c r="AD161" i="2"/>
  <c r="AR160" i="2"/>
  <c r="AQ160" i="2"/>
  <c r="AP160" i="2"/>
  <c r="AO160" i="2"/>
  <c r="AN160" i="2"/>
  <c r="AM160" i="2"/>
  <c r="AL160" i="2"/>
  <c r="AK160" i="2"/>
  <c r="AJ160" i="2"/>
  <c r="AI160" i="2"/>
  <c r="AH160" i="2"/>
  <c r="AE160" i="2"/>
  <c r="AF160" i="2" s="1"/>
  <c r="AD160" i="2"/>
  <c r="AR159" i="2"/>
  <c r="AQ159" i="2"/>
  <c r="AP159" i="2"/>
  <c r="AO159" i="2"/>
  <c r="AN159" i="2"/>
  <c r="AM159" i="2"/>
  <c r="AL159" i="2"/>
  <c r="AK159" i="2"/>
  <c r="AJ159" i="2"/>
  <c r="AI159" i="2"/>
  <c r="AH159" i="2"/>
  <c r="AE159" i="2"/>
  <c r="AF159" i="2" s="1"/>
  <c r="AD159" i="2"/>
  <c r="AR158" i="2"/>
  <c r="AQ158" i="2"/>
  <c r="AP158" i="2"/>
  <c r="AO158" i="2"/>
  <c r="AN158" i="2"/>
  <c r="AM158" i="2"/>
  <c r="AL158" i="2"/>
  <c r="AK158" i="2"/>
  <c r="AJ158" i="2"/>
  <c r="AI158" i="2"/>
  <c r="AH158" i="2"/>
  <c r="AE158" i="2"/>
  <c r="AF158" i="2" s="1"/>
  <c r="AD158" i="2"/>
  <c r="AR157" i="2"/>
  <c r="AQ157" i="2"/>
  <c r="AP157" i="2"/>
  <c r="AO157" i="2"/>
  <c r="AN157" i="2"/>
  <c r="AM157" i="2"/>
  <c r="AL157" i="2"/>
  <c r="AK157" i="2"/>
  <c r="AJ157" i="2"/>
  <c r="AI157" i="2"/>
  <c r="AH157" i="2"/>
  <c r="AE157" i="2"/>
  <c r="AF157" i="2" s="1"/>
  <c r="AD157" i="2"/>
  <c r="AR156" i="2"/>
  <c r="AQ156" i="2"/>
  <c r="AP156" i="2"/>
  <c r="AO156" i="2"/>
  <c r="AN156" i="2"/>
  <c r="AM156" i="2"/>
  <c r="AL156" i="2"/>
  <c r="AK156" i="2"/>
  <c r="AJ156" i="2"/>
  <c r="AI156" i="2"/>
  <c r="AH156" i="2"/>
  <c r="AE156" i="2"/>
  <c r="AF156" i="2" s="1"/>
  <c r="AD156" i="2"/>
  <c r="AR154" i="2"/>
  <c r="AQ154" i="2"/>
  <c r="AP154" i="2"/>
  <c r="AO154" i="2"/>
  <c r="AN154" i="2"/>
  <c r="AM154" i="2"/>
  <c r="AL154" i="2"/>
  <c r="AK154" i="2"/>
  <c r="AJ154" i="2"/>
  <c r="AI154" i="2"/>
  <c r="AH154" i="2"/>
  <c r="AE154" i="2"/>
  <c r="AF154" i="2" s="1"/>
  <c r="AD154" i="2"/>
  <c r="AR155" i="2"/>
  <c r="AQ155" i="2"/>
  <c r="AP155" i="2"/>
  <c r="AO155" i="2"/>
  <c r="AN155" i="2"/>
  <c r="AM155" i="2"/>
  <c r="AL155" i="2"/>
  <c r="AK155" i="2"/>
  <c r="AJ155" i="2"/>
  <c r="AI155" i="2"/>
  <c r="AH155" i="2"/>
  <c r="AE155" i="2"/>
  <c r="AF155" i="2" s="1"/>
  <c r="AD155" i="2"/>
  <c r="AR153" i="2"/>
  <c r="AQ153" i="2"/>
  <c r="AP153" i="2"/>
  <c r="AO153" i="2"/>
  <c r="AN153" i="2"/>
  <c r="AM153" i="2"/>
  <c r="AL153" i="2"/>
  <c r="AK153" i="2"/>
  <c r="AJ153" i="2"/>
  <c r="AI153" i="2"/>
  <c r="AH153" i="2"/>
  <c r="AE153" i="2"/>
  <c r="AF153" i="2" s="1"/>
  <c r="AD153" i="2"/>
  <c r="AR152" i="2"/>
  <c r="AQ152" i="2"/>
  <c r="AP152" i="2"/>
  <c r="AO152" i="2"/>
  <c r="AN152" i="2"/>
  <c r="AM152" i="2"/>
  <c r="AL152" i="2"/>
  <c r="AK152" i="2"/>
  <c r="AJ152" i="2"/>
  <c r="AI152" i="2"/>
  <c r="AH152" i="2"/>
  <c r="AE152" i="2"/>
  <c r="AF152" i="2" s="1"/>
  <c r="AD152" i="2"/>
  <c r="AR151" i="2"/>
  <c r="AQ151" i="2"/>
  <c r="AP151" i="2"/>
  <c r="AO151" i="2"/>
  <c r="AN151" i="2"/>
  <c r="AM151" i="2"/>
  <c r="AL151" i="2"/>
  <c r="AK151" i="2"/>
  <c r="AJ151" i="2"/>
  <c r="AI151" i="2"/>
  <c r="AH151" i="2"/>
  <c r="AE151" i="2"/>
  <c r="AF151" i="2" s="1"/>
  <c r="AD151" i="2"/>
  <c r="AR150" i="2"/>
  <c r="AQ150" i="2"/>
  <c r="AP150" i="2"/>
  <c r="AO150" i="2"/>
  <c r="AN150" i="2"/>
  <c r="AM150" i="2"/>
  <c r="AL150" i="2"/>
  <c r="AK150" i="2"/>
  <c r="AJ150" i="2"/>
  <c r="AI150" i="2"/>
  <c r="AH150" i="2"/>
  <c r="AE150" i="2"/>
  <c r="AF150" i="2" s="1"/>
  <c r="AD150" i="2"/>
  <c r="AR149" i="2"/>
  <c r="AQ149" i="2"/>
  <c r="AP149" i="2"/>
  <c r="AO149" i="2"/>
  <c r="AN149" i="2"/>
  <c r="AM149" i="2"/>
  <c r="AL149" i="2"/>
  <c r="AK149" i="2"/>
  <c r="AJ149" i="2"/>
  <c r="AI149" i="2"/>
  <c r="AH149" i="2"/>
  <c r="AE149" i="2"/>
  <c r="AF149" i="2" s="1"/>
  <c r="AD149" i="2"/>
  <c r="AR148" i="2"/>
  <c r="AQ148" i="2"/>
  <c r="AP148" i="2"/>
  <c r="AO148" i="2"/>
  <c r="AN148" i="2"/>
  <c r="AM148" i="2"/>
  <c r="AL148" i="2"/>
  <c r="AK148" i="2"/>
  <c r="AJ148" i="2"/>
  <c r="AI148" i="2"/>
  <c r="AH148" i="2"/>
  <c r="AE148" i="2"/>
  <c r="AF148" i="2" s="1"/>
  <c r="AD148" i="2"/>
  <c r="AR147" i="2"/>
  <c r="AQ147" i="2"/>
  <c r="AP147" i="2"/>
  <c r="AO147" i="2"/>
  <c r="AN147" i="2"/>
  <c r="AM147" i="2"/>
  <c r="AL147" i="2"/>
  <c r="AK147" i="2"/>
  <c r="AJ147" i="2"/>
  <c r="AI147" i="2"/>
  <c r="AH147" i="2"/>
  <c r="AE147" i="2"/>
  <c r="AF147" i="2" s="1"/>
  <c r="AD147" i="2"/>
  <c r="AR146" i="2"/>
  <c r="AQ146" i="2"/>
  <c r="AP146" i="2"/>
  <c r="AO146" i="2"/>
  <c r="AN146" i="2"/>
  <c r="AM146" i="2"/>
  <c r="AL146" i="2"/>
  <c r="AK146" i="2"/>
  <c r="AJ146" i="2"/>
  <c r="AI146" i="2"/>
  <c r="AH146" i="2"/>
  <c r="AE146" i="2"/>
  <c r="AF146" i="2" s="1"/>
  <c r="AD146" i="2"/>
  <c r="AR145" i="2"/>
  <c r="AQ145" i="2"/>
  <c r="AP145" i="2"/>
  <c r="AO145" i="2"/>
  <c r="AN145" i="2"/>
  <c r="AM145" i="2"/>
  <c r="AL145" i="2"/>
  <c r="AK145" i="2"/>
  <c r="AJ145" i="2"/>
  <c r="AI145" i="2"/>
  <c r="AH145" i="2"/>
  <c r="AE145" i="2"/>
  <c r="AF145" i="2" s="1"/>
  <c r="AD145" i="2"/>
  <c r="AR144" i="2"/>
  <c r="AQ144" i="2"/>
  <c r="AP144" i="2"/>
  <c r="AO144" i="2"/>
  <c r="AN144" i="2"/>
  <c r="AM144" i="2"/>
  <c r="AL144" i="2"/>
  <c r="AK144" i="2"/>
  <c r="AJ144" i="2"/>
  <c r="AI144" i="2"/>
  <c r="AH144" i="2"/>
  <c r="AE144" i="2"/>
  <c r="AF144" i="2" s="1"/>
  <c r="AD144" i="2"/>
  <c r="AR128" i="2"/>
  <c r="AQ128" i="2"/>
  <c r="AP128" i="2"/>
  <c r="AO128" i="2"/>
  <c r="AN128" i="2"/>
  <c r="AM128" i="2"/>
  <c r="AL128" i="2"/>
  <c r="AK128" i="2"/>
  <c r="AJ128" i="2"/>
  <c r="AI128" i="2"/>
  <c r="AH128" i="2"/>
  <c r="AE128" i="2"/>
  <c r="AF128" i="2" s="1"/>
  <c r="AD128" i="2"/>
  <c r="AR127" i="2"/>
  <c r="AQ127" i="2"/>
  <c r="AP127" i="2"/>
  <c r="AO127" i="2"/>
  <c r="AN127" i="2"/>
  <c r="AM127" i="2"/>
  <c r="AL127" i="2"/>
  <c r="AK127" i="2"/>
  <c r="AJ127" i="2"/>
  <c r="AI127" i="2"/>
  <c r="AH127" i="2"/>
  <c r="AE127" i="2"/>
  <c r="AF127" i="2" s="1"/>
  <c r="AD127" i="2"/>
  <c r="AR124" i="2"/>
  <c r="AQ124" i="2"/>
  <c r="AP124" i="2"/>
  <c r="AO124" i="2"/>
  <c r="AN124" i="2"/>
  <c r="AM124" i="2"/>
  <c r="AL124" i="2"/>
  <c r="AK124" i="2"/>
  <c r="AJ124" i="2"/>
  <c r="AI124" i="2"/>
  <c r="AH124" i="2"/>
  <c r="AE124" i="2"/>
  <c r="AF124" i="2" s="1"/>
  <c r="AD124" i="2"/>
  <c r="AR123" i="2"/>
  <c r="AQ123" i="2"/>
  <c r="AP123" i="2"/>
  <c r="AO123" i="2"/>
  <c r="AN123" i="2"/>
  <c r="AM123" i="2"/>
  <c r="AL123" i="2"/>
  <c r="AK123" i="2"/>
  <c r="AJ123" i="2"/>
  <c r="AI123" i="2"/>
  <c r="AH123" i="2"/>
  <c r="AE123" i="2"/>
  <c r="AF123" i="2" s="1"/>
  <c r="AD123" i="2"/>
  <c r="AR122" i="2"/>
  <c r="AQ122" i="2"/>
  <c r="AP122" i="2"/>
  <c r="AO122" i="2"/>
  <c r="AN122" i="2"/>
  <c r="AM122" i="2"/>
  <c r="AL122" i="2"/>
  <c r="AK122" i="2"/>
  <c r="AJ122" i="2"/>
  <c r="AI122" i="2"/>
  <c r="AH122" i="2"/>
  <c r="AE122" i="2"/>
  <c r="AF122" i="2" s="1"/>
  <c r="AD122" i="2"/>
  <c r="AR121" i="2"/>
  <c r="AQ121" i="2"/>
  <c r="AP121" i="2"/>
  <c r="AO121" i="2"/>
  <c r="AN121" i="2"/>
  <c r="AM121" i="2"/>
  <c r="AL121" i="2"/>
  <c r="AK121" i="2"/>
  <c r="AJ121" i="2"/>
  <c r="AI121" i="2"/>
  <c r="AH121" i="2"/>
  <c r="AE121" i="2"/>
  <c r="AF121" i="2" s="1"/>
  <c r="AD121" i="2"/>
  <c r="AR120" i="2"/>
  <c r="AQ120" i="2"/>
  <c r="AP120" i="2"/>
  <c r="AO120" i="2"/>
  <c r="AN120" i="2"/>
  <c r="AM120" i="2"/>
  <c r="AL120" i="2"/>
  <c r="AK120" i="2"/>
  <c r="AJ120" i="2"/>
  <c r="AI120" i="2"/>
  <c r="AH120" i="2"/>
  <c r="AE120" i="2"/>
  <c r="AF120" i="2" s="1"/>
  <c r="AD120" i="2"/>
  <c r="AR119" i="2"/>
  <c r="AQ119" i="2"/>
  <c r="AP119" i="2"/>
  <c r="AO119" i="2"/>
  <c r="AN119" i="2"/>
  <c r="AM119" i="2"/>
  <c r="AL119" i="2"/>
  <c r="AK119" i="2"/>
  <c r="AJ119" i="2"/>
  <c r="AI119" i="2"/>
  <c r="AH119" i="2"/>
  <c r="AE119" i="2"/>
  <c r="AF119" i="2" s="1"/>
  <c r="AD119" i="2"/>
  <c r="AR118" i="2"/>
  <c r="AQ118" i="2"/>
  <c r="AP118" i="2"/>
  <c r="AO118" i="2"/>
  <c r="AN118" i="2"/>
  <c r="AM118" i="2"/>
  <c r="AL118" i="2"/>
  <c r="AK118" i="2"/>
  <c r="AJ118" i="2"/>
  <c r="AI118" i="2"/>
  <c r="AH118" i="2"/>
  <c r="AE118" i="2"/>
  <c r="AF118" i="2" s="1"/>
  <c r="AD118" i="2"/>
  <c r="AR117" i="2"/>
  <c r="AQ117" i="2"/>
  <c r="AP117" i="2"/>
  <c r="AO117" i="2"/>
  <c r="AN117" i="2"/>
  <c r="AM117" i="2"/>
  <c r="AL117" i="2"/>
  <c r="AK117" i="2"/>
  <c r="AJ117" i="2"/>
  <c r="AI117" i="2"/>
  <c r="AH117" i="2"/>
  <c r="AE117" i="2"/>
  <c r="AF117" i="2" s="1"/>
  <c r="AD117" i="2"/>
  <c r="AR115" i="2"/>
  <c r="AQ115" i="2"/>
  <c r="AP115" i="2"/>
  <c r="AO115" i="2"/>
  <c r="AN115" i="2"/>
  <c r="AM115" i="2"/>
  <c r="AL115" i="2"/>
  <c r="AK115" i="2"/>
  <c r="AJ115" i="2"/>
  <c r="AI115" i="2"/>
  <c r="AH115" i="2"/>
  <c r="AE115" i="2"/>
  <c r="AF115" i="2" s="1"/>
  <c r="AD115" i="2"/>
  <c r="AR114" i="2"/>
  <c r="AQ114" i="2"/>
  <c r="AP114" i="2"/>
  <c r="AO114" i="2"/>
  <c r="AN114" i="2"/>
  <c r="AM114" i="2"/>
  <c r="AL114" i="2"/>
  <c r="AK114" i="2"/>
  <c r="AJ114" i="2"/>
  <c r="AI114" i="2"/>
  <c r="AH114" i="2"/>
  <c r="AE114" i="2"/>
  <c r="AF114" i="2" s="1"/>
  <c r="AD114" i="2"/>
  <c r="AR113" i="2"/>
  <c r="AQ113" i="2"/>
  <c r="AP113" i="2"/>
  <c r="AO113" i="2"/>
  <c r="AN113" i="2"/>
  <c r="AM113" i="2"/>
  <c r="AL113" i="2"/>
  <c r="AK113" i="2"/>
  <c r="AJ113" i="2"/>
  <c r="AI113" i="2"/>
  <c r="AH113" i="2"/>
  <c r="AE113" i="2"/>
  <c r="AF113" i="2" s="1"/>
  <c r="AD113" i="2"/>
  <c r="AR112" i="2"/>
  <c r="AQ112" i="2"/>
  <c r="AP112" i="2"/>
  <c r="AO112" i="2"/>
  <c r="AN112" i="2"/>
  <c r="AM112" i="2"/>
  <c r="AL112" i="2"/>
  <c r="AK112" i="2"/>
  <c r="AJ112" i="2"/>
  <c r="AI112" i="2"/>
  <c r="AH112" i="2"/>
  <c r="AE112" i="2"/>
  <c r="AF112" i="2" s="1"/>
  <c r="AD112" i="2"/>
  <c r="AR111" i="2"/>
  <c r="AQ111" i="2"/>
  <c r="AP111" i="2"/>
  <c r="AO111" i="2"/>
  <c r="AN111" i="2"/>
  <c r="AM111" i="2"/>
  <c r="AL111" i="2"/>
  <c r="AK111" i="2"/>
  <c r="AJ111" i="2"/>
  <c r="AI111" i="2"/>
  <c r="AH111" i="2"/>
  <c r="AE111" i="2"/>
  <c r="AF111" i="2" s="1"/>
  <c r="AD111" i="2"/>
  <c r="AR110" i="2"/>
  <c r="AQ110" i="2"/>
  <c r="AP110" i="2"/>
  <c r="AO110" i="2"/>
  <c r="AN110" i="2"/>
  <c r="AM110" i="2"/>
  <c r="AL110" i="2"/>
  <c r="AK110" i="2"/>
  <c r="AJ110" i="2"/>
  <c r="AI110" i="2"/>
  <c r="AH110" i="2"/>
  <c r="AE110" i="2"/>
  <c r="AF110" i="2" s="1"/>
  <c r="AD110" i="2"/>
  <c r="AR101" i="2"/>
  <c r="AQ101" i="2"/>
  <c r="AP101" i="2"/>
  <c r="AO101" i="2"/>
  <c r="AN101" i="2"/>
  <c r="AM101" i="2"/>
  <c r="AL101" i="2"/>
  <c r="AK101" i="2"/>
  <c r="AJ101" i="2"/>
  <c r="AI101" i="2"/>
  <c r="AH101" i="2"/>
  <c r="AE101" i="2"/>
  <c r="AF101" i="2" s="1"/>
  <c r="AD101" i="2"/>
  <c r="AR100" i="2"/>
  <c r="AQ100" i="2"/>
  <c r="AP100" i="2"/>
  <c r="AO100" i="2"/>
  <c r="AN100" i="2"/>
  <c r="AM100" i="2"/>
  <c r="AL100" i="2"/>
  <c r="AK100" i="2"/>
  <c r="AJ100" i="2"/>
  <c r="AI100" i="2"/>
  <c r="AH100" i="2"/>
  <c r="AE100" i="2"/>
  <c r="AF100" i="2" s="1"/>
  <c r="AD100" i="2"/>
  <c r="AR99" i="2"/>
  <c r="AQ99" i="2"/>
  <c r="AP99" i="2"/>
  <c r="AO99" i="2"/>
  <c r="AN99" i="2"/>
  <c r="AM99" i="2"/>
  <c r="AL99" i="2"/>
  <c r="AK99" i="2"/>
  <c r="AJ99" i="2"/>
  <c r="AI99" i="2"/>
  <c r="AH99" i="2"/>
  <c r="AE99" i="2"/>
  <c r="AF99" i="2" s="1"/>
  <c r="AD99" i="2"/>
  <c r="AR98" i="2"/>
  <c r="AQ98" i="2"/>
  <c r="AP98" i="2"/>
  <c r="AO98" i="2"/>
  <c r="AN98" i="2"/>
  <c r="AM98" i="2"/>
  <c r="AL98" i="2"/>
  <c r="AK98" i="2"/>
  <c r="AJ98" i="2"/>
  <c r="AI98" i="2"/>
  <c r="AH98" i="2"/>
  <c r="AE98" i="2"/>
  <c r="AF98" i="2" s="1"/>
  <c r="AD98" i="2"/>
  <c r="AR97" i="2"/>
  <c r="AQ97" i="2"/>
  <c r="AP97" i="2"/>
  <c r="AO97" i="2"/>
  <c r="AN97" i="2"/>
  <c r="AM97" i="2"/>
  <c r="AL97" i="2"/>
  <c r="AK97" i="2"/>
  <c r="AJ97" i="2"/>
  <c r="AI97" i="2"/>
  <c r="AH97" i="2"/>
  <c r="AE97" i="2"/>
  <c r="AF97" i="2" s="1"/>
  <c r="AD97" i="2"/>
  <c r="AR96" i="2"/>
  <c r="AQ96" i="2"/>
  <c r="AP96" i="2"/>
  <c r="AO96" i="2"/>
  <c r="AN96" i="2"/>
  <c r="AM96" i="2"/>
  <c r="AL96" i="2"/>
  <c r="AK96" i="2"/>
  <c r="AJ96" i="2"/>
  <c r="AI96" i="2"/>
  <c r="AH96" i="2"/>
  <c r="AE96" i="2"/>
  <c r="AF96" i="2" s="1"/>
  <c r="AD96" i="2"/>
  <c r="AR89" i="2"/>
  <c r="AQ89" i="2"/>
  <c r="AP89" i="2"/>
  <c r="AO89" i="2"/>
  <c r="AN89" i="2"/>
  <c r="AM89" i="2"/>
  <c r="AL89" i="2"/>
  <c r="AK89" i="2"/>
  <c r="AJ89" i="2"/>
  <c r="AI89" i="2"/>
  <c r="AH89" i="2"/>
  <c r="AE89" i="2"/>
  <c r="AF89" i="2" s="1"/>
  <c r="AD89" i="2"/>
  <c r="AR88" i="2"/>
  <c r="AQ88" i="2"/>
  <c r="AP88" i="2"/>
  <c r="AO88" i="2"/>
  <c r="AN88" i="2"/>
  <c r="AM88" i="2"/>
  <c r="AL88" i="2"/>
  <c r="AK88" i="2"/>
  <c r="AJ88" i="2"/>
  <c r="AI88" i="2"/>
  <c r="AH88" i="2"/>
  <c r="AE88" i="2"/>
  <c r="AF88" i="2" s="1"/>
  <c r="AD88" i="2"/>
  <c r="AR87" i="2"/>
  <c r="AQ87" i="2"/>
  <c r="AP87" i="2"/>
  <c r="AO87" i="2"/>
  <c r="AN87" i="2"/>
  <c r="AM87" i="2"/>
  <c r="AL87" i="2"/>
  <c r="AK87" i="2"/>
  <c r="AJ87" i="2"/>
  <c r="AI87" i="2"/>
  <c r="AH87" i="2"/>
  <c r="AE87" i="2"/>
  <c r="AF87" i="2" s="1"/>
  <c r="AD87" i="2"/>
  <c r="AR86" i="2"/>
  <c r="AQ86" i="2"/>
  <c r="AP86" i="2"/>
  <c r="AO86" i="2"/>
  <c r="AN86" i="2"/>
  <c r="AM86" i="2"/>
  <c r="AL86" i="2"/>
  <c r="AK86" i="2"/>
  <c r="AJ86" i="2"/>
  <c r="AI86" i="2"/>
  <c r="AH86" i="2"/>
  <c r="AE86" i="2"/>
  <c r="AF86" i="2" s="1"/>
  <c r="AD86" i="2"/>
  <c r="AR85" i="2"/>
  <c r="AQ85" i="2"/>
  <c r="AP85" i="2"/>
  <c r="AO85" i="2"/>
  <c r="AN85" i="2"/>
  <c r="AM85" i="2"/>
  <c r="AL85" i="2"/>
  <c r="AK85" i="2"/>
  <c r="AJ85" i="2"/>
  <c r="AI85" i="2"/>
  <c r="AH85" i="2"/>
  <c r="AE85" i="2"/>
  <c r="AF85" i="2" s="1"/>
  <c r="AD85" i="2"/>
  <c r="AR84" i="2"/>
  <c r="AQ84" i="2"/>
  <c r="AP84" i="2"/>
  <c r="AO84" i="2"/>
  <c r="AN84" i="2"/>
  <c r="AM84" i="2"/>
  <c r="AL84" i="2"/>
  <c r="AK84" i="2"/>
  <c r="AJ84" i="2"/>
  <c r="AI84" i="2"/>
  <c r="AH84" i="2"/>
  <c r="AE84" i="2"/>
  <c r="AF84" i="2" s="1"/>
  <c r="AD84" i="2"/>
  <c r="AR83" i="2"/>
  <c r="AQ83" i="2"/>
  <c r="AP83" i="2"/>
  <c r="AO83" i="2"/>
  <c r="AN83" i="2"/>
  <c r="AM83" i="2"/>
  <c r="AL83" i="2"/>
  <c r="AK83" i="2"/>
  <c r="AJ83" i="2"/>
  <c r="AI83" i="2"/>
  <c r="AH83" i="2"/>
  <c r="AE83" i="2"/>
  <c r="AF83" i="2" s="1"/>
  <c r="AD83" i="2"/>
  <c r="AR82" i="2"/>
  <c r="AQ82" i="2"/>
  <c r="AP82" i="2"/>
  <c r="AO82" i="2"/>
  <c r="AN82" i="2"/>
  <c r="AM82" i="2"/>
  <c r="AL82" i="2"/>
  <c r="AK82" i="2"/>
  <c r="AJ82" i="2"/>
  <c r="AI82" i="2"/>
  <c r="AH82" i="2"/>
  <c r="AE82" i="2"/>
  <c r="AF82" i="2" s="1"/>
  <c r="AD82" i="2"/>
  <c r="AR81" i="2"/>
  <c r="AQ81" i="2"/>
  <c r="AP81" i="2"/>
  <c r="AO81" i="2"/>
  <c r="AN81" i="2"/>
  <c r="AM81" i="2"/>
  <c r="AL81" i="2"/>
  <c r="AK81" i="2"/>
  <c r="AJ81" i="2"/>
  <c r="AI81" i="2"/>
  <c r="AH81" i="2"/>
  <c r="AE81" i="2"/>
  <c r="AF81" i="2" s="1"/>
  <c r="AD81" i="2"/>
  <c r="AR80" i="2"/>
  <c r="AQ80" i="2"/>
  <c r="AP80" i="2"/>
  <c r="AO80" i="2"/>
  <c r="AN80" i="2"/>
  <c r="AM80" i="2"/>
  <c r="AL80" i="2"/>
  <c r="AK80" i="2"/>
  <c r="AJ80" i="2"/>
  <c r="AI80" i="2"/>
  <c r="AH80" i="2"/>
  <c r="AE80" i="2"/>
  <c r="AF80" i="2" s="1"/>
  <c r="AD80" i="2"/>
  <c r="AR79" i="2"/>
  <c r="AQ79" i="2"/>
  <c r="AP79" i="2"/>
  <c r="AO79" i="2"/>
  <c r="AN79" i="2"/>
  <c r="AM79" i="2"/>
  <c r="AL79" i="2"/>
  <c r="AK79" i="2"/>
  <c r="AJ79" i="2"/>
  <c r="AI79" i="2"/>
  <c r="AH79" i="2"/>
  <c r="AE79" i="2"/>
  <c r="AF79" i="2" s="1"/>
  <c r="AD79" i="2"/>
  <c r="AR78" i="2"/>
  <c r="AQ78" i="2"/>
  <c r="AP78" i="2"/>
  <c r="AO78" i="2"/>
  <c r="AN78" i="2"/>
  <c r="AM78" i="2"/>
  <c r="AL78" i="2"/>
  <c r="AK78" i="2"/>
  <c r="AJ78" i="2"/>
  <c r="AI78" i="2"/>
  <c r="AH78" i="2"/>
  <c r="AE78" i="2"/>
  <c r="AF78" i="2" s="1"/>
  <c r="AD78" i="2"/>
  <c r="AR77" i="2"/>
  <c r="AQ77" i="2"/>
  <c r="AP77" i="2"/>
  <c r="AO77" i="2"/>
  <c r="AN77" i="2"/>
  <c r="AM77" i="2"/>
  <c r="AL77" i="2"/>
  <c r="AK77" i="2"/>
  <c r="AJ77" i="2"/>
  <c r="AI77" i="2"/>
  <c r="AH77" i="2"/>
  <c r="AE77" i="2"/>
  <c r="AF77" i="2" s="1"/>
  <c r="AD77" i="2"/>
  <c r="AR62" i="2"/>
  <c r="AQ62" i="2"/>
  <c r="AP62" i="2"/>
  <c r="AO62" i="2"/>
  <c r="AN62" i="2"/>
  <c r="AM62" i="2"/>
  <c r="AL62" i="2"/>
  <c r="AK62" i="2"/>
  <c r="AJ62" i="2"/>
  <c r="AI62" i="2"/>
  <c r="AH62" i="2"/>
  <c r="AE62" i="2"/>
  <c r="AF62" i="2" s="1"/>
  <c r="AD62" i="2"/>
  <c r="AR61" i="2"/>
  <c r="AQ61" i="2"/>
  <c r="AP61" i="2"/>
  <c r="AO61" i="2"/>
  <c r="AN61" i="2"/>
  <c r="AM61" i="2"/>
  <c r="AL61" i="2"/>
  <c r="AK61" i="2"/>
  <c r="AJ61" i="2"/>
  <c r="AI61" i="2"/>
  <c r="AH61" i="2"/>
  <c r="AE61" i="2"/>
  <c r="AF61" i="2" s="1"/>
  <c r="AD61" i="2"/>
  <c r="AR60" i="2"/>
  <c r="AQ60" i="2"/>
  <c r="AP60" i="2"/>
  <c r="AO60" i="2"/>
  <c r="AN60" i="2"/>
  <c r="AM60" i="2"/>
  <c r="AL60" i="2"/>
  <c r="AK60" i="2"/>
  <c r="AJ60" i="2"/>
  <c r="AI60" i="2"/>
  <c r="AH60" i="2"/>
  <c r="AE60" i="2"/>
  <c r="AF60" i="2" s="1"/>
  <c r="AD60" i="2"/>
  <c r="AR59" i="2"/>
  <c r="AQ59" i="2"/>
  <c r="AP59" i="2"/>
  <c r="AO59" i="2"/>
  <c r="AN59" i="2"/>
  <c r="AM59" i="2"/>
  <c r="AL59" i="2"/>
  <c r="AK59" i="2"/>
  <c r="AJ59" i="2"/>
  <c r="AI59" i="2"/>
  <c r="AH59" i="2"/>
  <c r="AE59" i="2"/>
  <c r="AF59" i="2" s="1"/>
  <c r="AD59" i="2"/>
  <c r="AR58" i="2"/>
  <c r="AQ58" i="2"/>
  <c r="AP58" i="2"/>
  <c r="AO58" i="2"/>
  <c r="AN58" i="2"/>
  <c r="AM58" i="2"/>
  <c r="AL58" i="2"/>
  <c r="AK58" i="2"/>
  <c r="AJ58" i="2"/>
  <c r="AI58" i="2"/>
  <c r="AH58" i="2"/>
  <c r="AE58" i="2"/>
  <c r="AF58" i="2" s="1"/>
  <c r="AD58" i="2"/>
  <c r="AR57" i="2"/>
  <c r="AQ57" i="2"/>
  <c r="AP57" i="2"/>
  <c r="AO57" i="2"/>
  <c r="AN57" i="2"/>
  <c r="AM57" i="2"/>
  <c r="AL57" i="2"/>
  <c r="AK57" i="2"/>
  <c r="AJ57" i="2"/>
  <c r="AI57" i="2"/>
  <c r="AH57" i="2"/>
  <c r="AE57" i="2"/>
  <c r="AF57" i="2" s="1"/>
  <c r="AD57" i="2"/>
  <c r="AR56" i="2"/>
  <c r="AQ56" i="2"/>
  <c r="AP56" i="2"/>
  <c r="AO56" i="2"/>
  <c r="AN56" i="2"/>
  <c r="AM56" i="2"/>
  <c r="AL56" i="2"/>
  <c r="AK56" i="2"/>
  <c r="AJ56" i="2"/>
  <c r="AI56" i="2"/>
  <c r="AH56" i="2"/>
  <c r="AE56" i="2"/>
  <c r="AF56" i="2" s="1"/>
  <c r="AD56" i="2"/>
  <c r="AR55" i="2"/>
  <c r="AQ55" i="2"/>
  <c r="AP55" i="2"/>
  <c r="AO55" i="2"/>
  <c r="AN55" i="2"/>
  <c r="AM55" i="2"/>
  <c r="AL55" i="2"/>
  <c r="AK55" i="2"/>
  <c r="AJ55" i="2"/>
  <c r="AI55" i="2"/>
  <c r="AH55" i="2"/>
  <c r="AE55" i="2"/>
  <c r="AF55" i="2" s="1"/>
  <c r="AD55" i="2"/>
  <c r="AR54" i="2"/>
  <c r="AQ54" i="2"/>
  <c r="AP54" i="2"/>
  <c r="AO54" i="2"/>
  <c r="AN54" i="2"/>
  <c r="AM54" i="2"/>
  <c r="AL54" i="2"/>
  <c r="AK54" i="2"/>
  <c r="AJ54" i="2"/>
  <c r="AI54" i="2"/>
  <c r="AH54" i="2"/>
  <c r="AE54" i="2"/>
  <c r="AF54" i="2" s="1"/>
  <c r="AD54" i="2"/>
  <c r="AR53" i="2"/>
  <c r="AQ53" i="2"/>
  <c r="AP53" i="2"/>
  <c r="AO53" i="2"/>
  <c r="AN53" i="2"/>
  <c r="AM53" i="2"/>
  <c r="AL53" i="2"/>
  <c r="AK53" i="2"/>
  <c r="AJ53" i="2"/>
  <c r="AI53" i="2"/>
  <c r="AH53" i="2"/>
  <c r="AE53" i="2"/>
  <c r="AF53" i="2" s="1"/>
  <c r="AD53" i="2"/>
  <c r="AR52" i="2"/>
  <c r="AQ52" i="2"/>
  <c r="AP52" i="2"/>
  <c r="AO52" i="2"/>
  <c r="AN52" i="2"/>
  <c r="AM52" i="2"/>
  <c r="AL52" i="2"/>
  <c r="AK52" i="2"/>
  <c r="AJ52" i="2"/>
  <c r="AI52" i="2"/>
  <c r="AH52" i="2"/>
  <c r="AE52" i="2"/>
  <c r="AF52" i="2" s="1"/>
  <c r="AD52" i="2"/>
  <c r="AR51" i="2"/>
  <c r="AQ51" i="2"/>
  <c r="AP51" i="2"/>
  <c r="AO51" i="2"/>
  <c r="AN51" i="2"/>
  <c r="AM51" i="2"/>
  <c r="AL51" i="2"/>
  <c r="AK51" i="2"/>
  <c r="AJ51" i="2"/>
  <c r="AI51" i="2"/>
  <c r="AH51" i="2"/>
  <c r="AE51" i="2"/>
  <c r="AF51" i="2" s="1"/>
  <c r="AD51" i="2"/>
  <c r="AR37" i="2"/>
  <c r="AQ37" i="2"/>
  <c r="AP37" i="2"/>
  <c r="AO37" i="2"/>
  <c r="AN37" i="2"/>
  <c r="AM37" i="2"/>
  <c r="AL37" i="2"/>
  <c r="AK37" i="2"/>
  <c r="AJ37" i="2"/>
  <c r="AI37" i="2"/>
  <c r="AH37" i="2"/>
  <c r="AE37" i="2"/>
  <c r="AF37" i="2" s="1"/>
  <c r="AD37" i="2"/>
  <c r="AR36" i="2"/>
  <c r="AQ36" i="2"/>
  <c r="AP36" i="2"/>
  <c r="AO36" i="2"/>
  <c r="AN36" i="2"/>
  <c r="AM36" i="2"/>
  <c r="AL36" i="2"/>
  <c r="AK36" i="2"/>
  <c r="AJ36" i="2"/>
  <c r="AI36" i="2"/>
  <c r="AH36" i="2"/>
  <c r="AE36" i="2"/>
  <c r="AF36" i="2" s="1"/>
  <c r="AD36" i="2"/>
  <c r="AR35" i="2"/>
  <c r="AQ35" i="2"/>
  <c r="AP35" i="2"/>
  <c r="AO35" i="2"/>
  <c r="AN35" i="2"/>
  <c r="AM35" i="2"/>
  <c r="AL35" i="2"/>
  <c r="AK35" i="2"/>
  <c r="AJ35" i="2"/>
  <c r="AI35" i="2"/>
  <c r="AH35" i="2"/>
  <c r="AE35" i="2"/>
  <c r="AF35" i="2" s="1"/>
  <c r="AD35" i="2"/>
  <c r="AR34" i="2"/>
  <c r="AQ34" i="2"/>
  <c r="AP34" i="2"/>
  <c r="AO34" i="2"/>
  <c r="AN34" i="2"/>
  <c r="AM34" i="2"/>
  <c r="AL34" i="2"/>
  <c r="AK34" i="2"/>
  <c r="AJ34" i="2"/>
  <c r="AI34" i="2"/>
  <c r="AH34" i="2"/>
  <c r="AE34" i="2"/>
  <c r="AF34" i="2" s="1"/>
  <c r="AD34" i="2"/>
  <c r="AR33" i="2"/>
  <c r="AQ33" i="2"/>
  <c r="AP33" i="2"/>
  <c r="AO33" i="2"/>
  <c r="AN33" i="2"/>
  <c r="AM33" i="2"/>
  <c r="AL33" i="2"/>
  <c r="AK33" i="2"/>
  <c r="AJ33" i="2"/>
  <c r="AI33" i="2"/>
  <c r="AH33" i="2"/>
  <c r="AE33" i="2"/>
  <c r="AF33" i="2" s="1"/>
  <c r="AD33" i="2"/>
  <c r="AR32" i="2"/>
  <c r="AQ32" i="2"/>
  <c r="AP32" i="2"/>
  <c r="AO32" i="2"/>
  <c r="AN32" i="2"/>
  <c r="AM32" i="2"/>
  <c r="AL32" i="2"/>
  <c r="AK32" i="2"/>
  <c r="AJ32" i="2"/>
  <c r="AI32" i="2"/>
  <c r="AH32" i="2"/>
  <c r="AE32" i="2"/>
  <c r="AF32" i="2" s="1"/>
  <c r="AD32" i="2"/>
  <c r="AR31" i="2"/>
  <c r="AQ31" i="2"/>
  <c r="AP31" i="2"/>
  <c r="AO31" i="2"/>
  <c r="AN31" i="2"/>
  <c r="AM31" i="2"/>
  <c r="AL31" i="2"/>
  <c r="AK31" i="2"/>
  <c r="AJ31" i="2"/>
  <c r="AI31" i="2"/>
  <c r="AH31" i="2"/>
  <c r="AE31" i="2"/>
  <c r="AF31" i="2" s="1"/>
  <c r="AD31" i="2"/>
  <c r="AR30" i="2"/>
  <c r="AQ30" i="2"/>
  <c r="AP30" i="2"/>
  <c r="AO30" i="2"/>
  <c r="AN30" i="2"/>
  <c r="AM30" i="2"/>
  <c r="AL30" i="2"/>
  <c r="AK30" i="2"/>
  <c r="AJ30" i="2"/>
  <c r="AI30" i="2"/>
  <c r="AH30" i="2"/>
  <c r="AE30" i="2"/>
  <c r="AF30" i="2" s="1"/>
  <c r="AD30" i="2"/>
  <c r="AR29" i="2"/>
  <c r="AQ29" i="2"/>
  <c r="AP29" i="2"/>
  <c r="AO29" i="2"/>
  <c r="AN29" i="2"/>
  <c r="AM29" i="2"/>
  <c r="AL29" i="2"/>
  <c r="AK29" i="2"/>
  <c r="AJ29" i="2"/>
  <c r="AI29" i="2"/>
  <c r="AH29" i="2"/>
  <c r="AE29" i="2"/>
  <c r="AF29" i="2" s="1"/>
  <c r="AD29" i="2"/>
  <c r="AR28" i="2"/>
  <c r="AQ28" i="2"/>
  <c r="AP28" i="2"/>
  <c r="AO28" i="2"/>
  <c r="AN28" i="2"/>
  <c r="AM28" i="2"/>
  <c r="AL28" i="2"/>
  <c r="AK28" i="2"/>
  <c r="AJ28" i="2"/>
  <c r="AI28" i="2"/>
  <c r="AH28" i="2"/>
  <c r="AE28" i="2"/>
  <c r="AF28" i="2" s="1"/>
  <c r="AD28" i="2"/>
  <c r="AR27" i="2"/>
  <c r="AQ27" i="2"/>
  <c r="AP27" i="2"/>
  <c r="AO27" i="2"/>
  <c r="AN27" i="2"/>
  <c r="AM27" i="2"/>
  <c r="AL27" i="2"/>
  <c r="AK27" i="2"/>
  <c r="AJ27" i="2"/>
  <c r="AI27" i="2"/>
  <c r="AH27" i="2"/>
  <c r="AE27" i="2"/>
  <c r="AF27" i="2" s="1"/>
  <c r="AD27" i="2"/>
  <c r="AR26" i="2"/>
  <c r="AQ26" i="2"/>
  <c r="AP26" i="2"/>
  <c r="AO26" i="2"/>
  <c r="AN26" i="2"/>
  <c r="AM26" i="2"/>
  <c r="AL26" i="2"/>
  <c r="AK26" i="2"/>
  <c r="AJ26" i="2"/>
  <c r="AI26" i="2"/>
  <c r="AH26" i="2"/>
  <c r="AE26" i="2"/>
  <c r="AF26" i="2" s="1"/>
  <c r="AD26" i="2"/>
  <c r="AR109" i="2"/>
  <c r="AQ109" i="2"/>
  <c r="AP109" i="2"/>
  <c r="AO109" i="2"/>
  <c r="AN109" i="2"/>
  <c r="AM109" i="2"/>
  <c r="AL109" i="2"/>
  <c r="AK109" i="2"/>
  <c r="AJ109" i="2"/>
  <c r="AI109" i="2"/>
  <c r="AH109" i="2"/>
  <c r="AE109" i="2"/>
  <c r="AF109" i="2" s="1"/>
  <c r="AR108" i="2"/>
  <c r="AQ108" i="2"/>
  <c r="AP108" i="2"/>
  <c r="AO108" i="2"/>
  <c r="AN108" i="2"/>
  <c r="AM108" i="2"/>
  <c r="AL108" i="2"/>
  <c r="AK108" i="2"/>
  <c r="AJ108" i="2"/>
  <c r="AI108" i="2"/>
  <c r="AH108" i="2"/>
  <c r="AE108" i="2"/>
  <c r="AF108" i="2" s="1"/>
  <c r="AR107" i="2"/>
  <c r="AQ107" i="2"/>
  <c r="AP107" i="2"/>
  <c r="AO107" i="2"/>
  <c r="AN107" i="2"/>
  <c r="AM107" i="2"/>
  <c r="AL107" i="2"/>
  <c r="AK107" i="2"/>
  <c r="AJ107" i="2"/>
  <c r="AI107" i="2"/>
  <c r="AH107" i="2"/>
  <c r="AE107" i="2"/>
  <c r="AF107" i="2" s="1"/>
  <c r="AR106" i="2"/>
  <c r="AQ106" i="2"/>
  <c r="AP106" i="2"/>
  <c r="AO106" i="2"/>
  <c r="AN106" i="2"/>
  <c r="AM106" i="2"/>
  <c r="AL106" i="2"/>
  <c r="AK106" i="2"/>
  <c r="AJ106" i="2"/>
  <c r="AI106" i="2"/>
  <c r="AH106" i="2"/>
  <c r="AE106" i="2"/>
  <c r="AF106" i="2" s="1"/>
  <c r="AR105" i="2"/>
  <c r="AQ105" i="2"/>
  <c r="AP105" i="2"/>
  <c r="AO105" i="2"/>
  <c r="AN105" i="2"/>
  <c r="AM105" i="2"/>
  <c r="AL105" i="2"/>
  <c r="AK105" i="2"/>
  <c r="AJ105" i="2"/>
  <c r="AI105" i="2"/>
  <c r="AH105" i="2"/>
  <c r="AE105" i="2"/>
  <c r="AF105" i="2" s="1"/>
  <c r="AR104" i="2"/>
  <c r="AQ104" i="2"/>
  <c r="AP104" i="2"/>
  <c r="AO104" i="2"/>
  <c r="AN104" i="2"/>
  <c r="AM104" i="2"/>
  <c r="AL104" i="2"/>
  <c r="AK104" i="2"/>
  <c r="AJ104" i="2"/>
  <c r="AI104" i="2"/>
  <c r="AH104" i="2"/>
  <c r="AE104" i="2"/>
  <c r="AF104" i="2" s="1"/>
  <c r="AR103" i="2"/>
  <c r="AQ103" i="2"/>
  <c r="AP103" i="2"/>
  <c r="AO103" i="2"/>
  <c r="AN103" i="2"/>
  <c r="AM103" i="2"/>
  <c r="AL103" i="2"/>
  <c r="AK103" i="2"/>
  <c r="AJ103" i="2"/>
  <c r="AI103" i="2"/>
  <c r="AH103" i="2"/>
  <c r="AE103" i="2"/>
  <c r="AF103" i="2" s="1"/>
  <c r="AR95" i="2"/>
  <c r="AQ95" i="2"/>
  <c r="AP95" i="2"/>
  <c r="AO95" i="2"/>
  <c r="AN95" i="2"/>
  <c r="AM95" i="2"/>
  <c r="AL95" i="2"/>
  <c r="AK95" i="2"/>
  <c r="AJ95" i="2"/>
  <c r="AI95" i="2"/>
  <c r="AH95" i="2"/>
  <c r="AE95" i="2"/>
  <c r="AF95" i="2" s="1"/>
  <c r="AR94" i="2"/>
  <c r="AQ94" i="2"/>
  <c r="AP94" i="2"/>
  <c r="AO94" i="2"/>
  <c r="AN94" i="2"/>
  <c r="AM94" i="2"/>
  <c r="AL94" i="2"/>
  <c r="AK94" i="2"/>
  <c r="AJ94" i="2"/>
  <c r="AI94" i="2"/>
  <c r="AH94" i="2"/>
  <c r="AE94" i="2"/>
  <c r="AF94" i="2" s="1"/>
  <c r="AR93" i="2"/>
  <c r="AQ93" i="2"/>
  <c r="AP93" i="2"/>
  <c r="AO93" i="2"/>
  <c r="AN93" i="2"/>
  <c r="AM93" i="2"/>
  <c r="AL93" i="2"/>
  <c r="AK93" i="2"/>
  <c r="AJ93" i="2"/>
  <c r="AI93" i="2"/>
  <c r="AH93" i="2"/>
  <c r="AE93" i="2"/>
  <c r="AF93" i="2" s="1"/>
  <c r="AR92" i="2"/>
  <c r="AQ92" i="2"/>
  <c r="AP92" i="2"/>
  <c r="AO92" i="2"/>
  <c r="AN92" i="2"/>
  <c r="AM92" i="2"/>
  <c r="AL92" i="2"/>
  <c r="AK92" i="2"/>
  <c r="AJ92" i="2"/>
  <c r="AI92" i="2"/>
  <c r="AH92" i="2"/>
  <c r="AE92" i="2"/>
  <c r="AF92" i="2" s="1"/>
  <c r="AR91" i="2"/>
  <c r="AQ91" i="2"/>
  <c r="AP91" i="2"/>
  <c r="AO91" i="2"/>
  <c r="AN91" i="2"/>
  <c r="AM91" i="2"/>
  <c r="AL91" i="2"/>
  <c r="AK91" i="2"/>
  <c r="AJ91" i="2"/>
  <c r="AI91" i="2"/>
  <c r="AH91" i="2"/>
  <c r="AE91" i="2"/>
  <c r="AF91" i="2" s="1"/>
  <c r="AR76" i="2"/>
  <c r="AQ76" i="2"/>
  <c r="AP76" i="2"/>
  <c r="AO76" i="2"/>
  <c r="AN76" i="2"/>
  <c r="AM76" i="2"/>
  <c r="AL76" i="2"/>
  <c r="AK76" i="2"/>
  <c r="AJ76" i="2"/>
  <c r="AI76" i="2"/>
  <c r="AH76" i="2"/>
  <c r="AE76" i="2"/>
  <c r="AF76" i="2" s="1"/>
  <c r="AR75" i="2"/>
  <c r="AQ75" i="2"/>
  <c r="AP75" i="2"/>
  <c r="AO75" i="2"/>
  <c r="AN75" i="2"/>
  <c r="AM75" i="2"/>
  <c r="AL75" i="2"/>
  <c r="AK75" i="2"/>
  <c r="AJ75" i="2"/>
  <c r="AI75" i="2"/>
  <c r="AH75" i="2"/>
  <c r="AE75" i="2"/>
  <c r="AF75" i="2" s="1"/>
  <c r="AR74" i="2"/>
  <c r="AQ74" i="2"/>
  <c r="AP74" i="2"/>
  <c r="AO74" i="2"/>
  <c r="AN74" i="2"/>
  <c r="AM74" i="2"/>
  <c r="AL74" i="2"/>
  <c r="AK74" i="2"/>
  <c r="AJ74" i="2"/>
  <c r="AI74" i="2"/>
  <c r="AH74" i="2"/>
  <c r="AE74" i="2"/>
  <c r="AF74" i="2" s="1"/>
  <c r="AR73" i="2"/>
  <c r="AQ73" i="2"/>
  <c r="AP73" i="2"/>
  <c r="AO73" i="2"/>
  <c r="AN73" i="2"/>
  <c r="AM73" i="2"/>
  <c r="AL73" i="2"/>
  <c r="AK73" i="2"/>
  <c r="AJ73" i="2"/>
  <c r="AI73" i="2"/>
  <c r="AH73" i="2"/>
  <c r="AE73" i="2"/>
  <c r="AF73" i="2" s="1"/>
  <c r="AR72" i="2"/>
  <c r="AQ72" i="2"/>
  <c r="AP72" i="2"/>
  <c r="AO72" i="2"/>
  <c r="AN72" i="2"/>
  <c r="AM72" i="2"/>
  <c r="AL72" i="2"/>
  <c r="AK72" i="2"/>
  <c r="AJ72" i="2"/>
  <c r="AI72" i="2"/>
  <c r="AH72" i="2"/>
  <c r="AE72" i="2"/>
  <c r="AF72" i="2" s="1"/>
  <c r="AR71" i="2"/>
  <c r="AQ71" i="2"/>
  <c r="AP71" i="2"/>
  <c r="AO71" i="2"/>
  <c r="AN71" i="2"/>
  <c r="AM71" i="2"/>
  <c r="AL71" i="2"/>
  <c r="AK71" i="2"/>
  <c r="AJ71" i="2"/>
  <c r="AI71" i="2"/>
  <c r="AH71" i="2"/>
  <c r="AE71" i="2"/>
  <c r="AF71" i="2" s="1"/>
  <c r="AR70" i="2"/>
  <c r="AQ70" i="2"/>
  <c r="AP70" i="2"/>
  <c r="AO70" i="2"/>
  <c r="AN70" i="2"/>
  <c r="AM70" i="2"/>
  <c r="AL70" i="2"/>
  <c r="AK70" i="2"/>
  <c r="AJ70" i="2"/>
  <c r="AI70" i="2"/>
  <c r="AH70" i="2"/>
  <c r="AE70" i="2"/>
  <c r="AF70" i="2" s="1"/>
  <c r="AR69" i="2"/>
  <c r="AQ69" i="2"/>
  <c r="AP69" i="2"/>
  <c r="AO69" i="2"/>
  <c r="AN69" i="2"/>
  <c r="AM69" i="2"/>
  <c r="AL69" i="2"/>
  <c r="AK69" i="2"/>
  <c r="AJ69" i="2"/>
  <c r="AI69" i="2"/>
  <c r="AH69" i="2"/>
  <c r="AE69" i="2"/>
  <c r="AF69" i="2" s="1"/>
  <c r="AR68" i="2"/>
  <c r="AQ68" i="2"/>
  <c r="AP68" i="2"/>
  <c r="AO68" i="2"/>
  <c r="AN68" i="2"/>
  <c r="AM68" i="2"/>
  <c r="AL68" i="2"/>
  <c r="AK68" i="2"/>
  <c r="AJ68" i="2"/>
  <c r="AI68" i="2"/>
  <c r="AH68" i="2"/>
  <c r="AE68" i="2"/>
  <c r="AF68" i="2" s="1"/>
  <c r="AR67" i="2"/>
  <c r="AQ67" i="2"/>
  <c r="AP67" i="2"/>
  <c r="AO67" i="2"/>
  <c r="AN67" i="2"/>
  <c r="AM67" i="2"/>
  <c r="AL67" i="2"/>
  <c r="AK67" i="2"/>
  <c r="AJ67" i="2"/>
  <c r="AI67" i="2"/>
  <c r="AH67" i="2"/>
  <c r="AE67" i="2"/>
  <c r="AF67" i="2" s="1"/>
  <c r="AR66" i="2"/>
  <c r="AQ66" i="2"/>
  <c r="AP66" i="2"/>
  <c r="AO66" i="2"/>
  <c r="AN66" i="2"/>
  <c r="AM66" i="2"/>
  <c r="AL66" i="2"/>
  <c r="AK66" i="2"/>
  <c r="AJ66" i="2"/>
  <c r="AI66" i="2"/>
  <c r="AH66" i="2"/>
  <c r="AE66" i="2"/>
  <c r="AF66" i="2" s="1"/>
  <c r="AR65" i="2"/>
  <c r="AQ65" i="2"/>
  <c r="AP65" i="2"/>
  <c r="AO65" i="2"/>
  <c r="AN65" i="2"/>
  <c r="AM65" i="2"/>
  <c r="AL65" i="2"/>
  <c r="AK65" i="2"/>
  <c r="AJ65" i="2"/>
  <c r="AI65" i="2"/>
  <c r="AH65" i="2"/>
  <c r="AE65" i="2"/>
  <c r="AF65" i="2" s="1"/>
  <c r="AR64" i="2"/>
  <c r="AQ64" i="2"/>
  <c r="AP64" i="2"/>
  <c r="AO64" i="2"/>
  <c r="AN64" i="2"/>
  <c r="AM64" i="2"/>
  <c r="AL64" i="2"/>
  <c r="AK64" i="2"/>
  <c r="AJ64" i="2"/>
  <c r="AI64" i="2"/>
  <c r="AH64" i="2"/>
  <c r="AE64" i="2"/>
  <c r="AF64" i="2" s="1"/>
  <c r="AR50" i="2"/>
  <c r="AQ50" i="2"/>
  <c r="AP50" i="2"/>
  <c r="AO50" i="2"/>
  <c r="AN50" i="2"/>
  <c r="AM50" i="2"/>
  <c r="AL50" i="2"/>
  <c r="AK50" i="2"/>
  <c r="AJ50" i="2"/>
  <c r="AI50" i="2"/>
  <c r="AH50" i="2"/>
  <c r="AE50" i="2"/>
  <c r="AF50" i="2" s="1"/>
  <c r="AR49" i="2"/>
  <c r="AQ49" i="2"/>
  <c r="AP49" i="2"/>
  <c r="AO49" i="2"/>
  <c r="AN49" i="2"/>
  <c r="AM49" i="2"/>
  <c r="AL49" i="2"/>
  <c r="AK49" i="2"/>
  <c r="AJ49" i="2"/>
  <c r="AI49" i="2"/>
  <c r="AH49" i="2"/>
  <c r="AE49" i="2"/>
  <c r="AF49" i="2" s="1"/>
  <c r="AR48" i="2"/>
  <c r="AQ48" i="2"/>
  <c r="AP48" i="2"/>
  <c r="AO48" i="2"/>
  <c r="AN48" i="2"/>
  <c r="AM48" i="2"/>
  <c r="AL48" i="2"/>
  <c r="AK48" i="2"/>
  <c r="AJ48" i="2"/>
  <c r="AI48" i="2"/>
  <c r="AH48" i="2"/>
  <c r="AE48" i="2"/>
  <c r="AF48" i="2" s="1"/>
  <c r="AR47" i="2"/>
  <c r="AQ47" i="2"/>
  <c r="AP47" i="2"/>
  <c r="AO47" i="2"/>
  <c r="AN47" i="2"/>
  <c r="AM47" i="2"/>
  <c r="AL47" i="2"/>
  <c r="AK47" i="2"/>
  <c r="AJ47" i="2"/>
  <c r="AI47" i="2"/>
  <c r="AH47" i="2"/>
  <c r="AE47" i="2"/>
  <c r="AF47" i="2" s="1"/>
  <c r="AR46" i="2"/>
  <c r="AQ46" i="2"/>
  <c r="AP46" i="2"/>
  <c r="AO46" i="2"/>
  <c r="AN46" i="2"/>
  <c r="AM46" i="2"/>
  <c r="AL46" i="2"/>
  <c r="AK46" i="2"/>
  <c r="AJ46" i="2"/>
  <c r="AI46" i="2"/>
  <c r="AH46" i="2"/>
  <c r="AE46" i="2"/>
  <c r="AF46" i="2" s="1"/>
  <c r="AR45" i="2"/>
  <c r="AQ45" i="2"/>
  <c r="AP45" i="2"/>
  <c r="AO45" i="2"/>
  <c r="AN45" i="2"/>
  <c r="AM45" i="2"/>
  <c r="AL45" i="2"/>
  <c r="AK45" i="2"/>
  <c r="AJ45" i="2"/>
  <c r="AI45" i="2"/>
  <c r="AH45" i="2"/>
  <c r="AE45" i="2"/>
  <c r="AF45" i="2" s="1"/>
  <c r="AR44" i="2"/>
  <c r="AQ44" i="2"/>
  <c r="AP44" i="2"/>
  <c r="AO44" i="2"/>
  <c r="AN44" i="2"/>
  <c r="AM44" i="2"/>
  <c r="AL44" i="2"/>
  <c r="AK44" i="2"/>
  <c r="AJ44" i="2"/>
  <c r="AI44" i="2"/>
  <c r="AH44" i="2"/>
  <c r="AE44" i="2"/>
  <c r="AF44" i="2" s="1"/>
  <c r="AR43" i="2"/>
  <c r="AQ43" i="2"/>
  <c r="AP43" i="2"/>
  <c r="AO43" i="2"/>
  <c r="AN43" i="2"/>
  <c r="AM43" i="2"/>
  <c r="AL43" i="2"/>
  <c r="AK43" i="2"/>
  <c r="AJ43" i="2"/>
  <c r="AI43" i="2"/>
  <c r="AH43" i="2"/>
  <c r="AE43" i="2"/>
  <c r="AF43" i="2" s="1"/>
  <c r="AR42" i="2"/>
  <c r="AQ42" i="2"/>
  <c r="AP42" i="2"/>
  <c r="AO42" i="2"/>
  <c r="AN42" i="2"/>
  <c r="AM42" i="2"/>
  <c r="AL42" i="2"/>
  <c r="AK42" i="2"/>
  <c r="AJ42" i="2"/>
  <c r="AI42" i="2"/>
  <c r="AH42" i="2"/>
  <c r="AE42" i="2"/>
  <c r="AF42" i="2" s="1"/>
  <c r="AR41" i="2"/>
  <c r="AQ41" i="2"/>
  <c r="AP41" i="2"/>
  <c r="AO41" i="2"/>
  <c r="AN41" i="2"/>
  <c r="AM41" i="2"/>
  <c r="AL41" i="2"/>
  <c r="AK41" i="2"/>
  <c r="AJ41" i="2"/>
  <c r="AI41" i="2"/>
  <c r="AH41" i="2"/>
  <c r="AE41" i="2"/>
  <c r="AF41" i="2" s="1"/>
  <c r="AR40" i="2"/>
  <c r="AQ40" i="2"/>
  <c r="AP40" i="2"/>
  <c r="AO40" i="2"/>
  <c r="AN40" i="2"/>
  <c r="AM40" i="2"/>
  <c r="AL40" i="2"/>
  <c r="AK40" i="2"/>
  <c r="AJ40" i="2"/>
  <c r="AI40" i="2"/>
  <c r="AH40" i="2"/>
  <c r="AE40" i="2"/>
  <c r="AF40" i="2" s="1"/>
  <c r="AR39" i="2"/>
  <c r="AQ39" i="2"/>
  <c r="AP39" i="2"/>
  <c r="AO39" i="2"/>
  <c r="AN39" i="2"/>
  <c r="AM39" i="2"/>
  <c r="AL39" i="2"/>
  <c r="AK39" i="2"/>
  <c r="AJ39" i="2"/>
  <c r="AI39" i="2"/>
  <c r="AH39" i="2"/>
  <c r="AE39" i="2"/>
  <c r="AF39" i="2" s="1"/>
  <c r="AR125" i="2"/>
  <c r="AQ125" i="2"/>
  <c r="AP125" i="2"/>
  <c r="AO125" i="2"/>
  <c r="AN125" i="2"/>
  <c r="AM125" i="2"/>
  <c r="AL125" i="2"/>
  <c r="AK125" i="2"/>
  <c r="AJ125" i="2"/>
  <c r="AI125" i="2"/>
  <c r="AH125" i="2"/>
  <c r="AE125" i="2"/>
  <c r="AF125" i="2" s="1"/>
  <c r="AR25" i="2"/>
  <c r="AQ25" i="2"/>
  <c r="AP25" i="2"/>
  <c r="AO25" i="2"/>
  <c r="AN25" i="2"/>
  <c r="AM25" i="2"/>
  <c r="AL25" i="2"/>
  <c r="AK25" i="2"/>
  <c r="AJ25" i="2"/>
  <c r="AI25" i="2"/>
  <c r="AH25" i="2"/>
  <c r="AE25" i="2"/>
  <c r="AF25" i="2" s="1"/>
  <c r="AR24" i="2"/>
  <c r="AQ24" i="2"/>
  <c r="AP24" i="2"/>
  <c r="AO24" i="2"/>
  <c r="AN24" i="2"/>
  <c r="AM24" i="2"/>
  <c r="AL24" i="2"/>
  <c r="AK24" i="2"/>
  <c r="AJ24" i="2"/>
  <c r="AI24" i="2"/>
  <c r="AH24" i="2"/>
  <c r="AE24" i="2"/>
  <c r="AF24" i="2" s="1"/>
  <c r="AR23" i="2"/>
  <c r="AQ23" i="2"/>
  <c r="AP23" i="2"/>
  <c r="AO23" i="2"/>
  <c r="AN23" i="2"/>
  <c r="AM23" i="2"/>
  <c r="AL23" i="2"/>
  <c r="AK23" i="2"/>
  <c r="AJ23" i="2"/>
  <c r="AI23" i="2"/>
  <c r="AH23" i="2"/>
  <c r="AE23" i="2"/>
  <c r="AF23" i="2" s="1"/>
  <c r="AR22" i="2"/>
  <c r="AQ22" i="2"/>
  <c r="AP22" i="2"/>
  <c r="AO22" i="2"/>
  <c r="AN22" i="2"/>
  <c r="AM22" i="2"/>
  <c r="AL22" i="2"/>
  <c r="AK22" i="2"/>
  <c r="AJ22" i="2"/>
  <c r="AI22" i="2"/>
  <c r="AH22" i="2"/>
  <c r="AE22" i="2"/>
  <c r="AF22" i="2" s="1"/>
  <c r="AR21" i="2"/>
  <c r="AQ21" i="2"/>
  <c r="AP21" i="2"/>
  <c r="AO21" i="2"/>
  <c r="AN21" i="2"/>
  <c r="AM21" i="2"/>
  <c r="AL21" i="2"/>
  <c r="AK21" i="2"/>
  <c r="AJ21" i="2"/>
  <c r="AI21" i="2"/>
  <c r="AH21" i="2"/>
  <c r="AE21" i="2"/>
  <c r="AF21" i="2" s="1"/>
  <c r="AR20" i="2"/>
  <c r="AQ20" i="2"/>
  <c r="AP20" i="2"/>
  <c r="AO20" i="2"/>
  <c r="AN20" i="2"/>
  <c r="AM20" i="2"/>
  <c r="AL20" i="2"/>
  <c r="AK20" i="2"/>
  <c r="AJ20" i="2"/>
  <c r="AI20" i="2"/>
  <c r="AH20" i="2"/>
  <c r="AE20" i="2"/>
  <c r="AF20" i="2" s="1"/>
  <c r="AR19" i="2"/>
  <c r="AQ19" i="2"/>
  <c r="AP19" i="2"/>
  <c r="AO19" i="2"/>
  <c r="AN19" i="2"/>
  <c r="AM19" i="2"/>
  <c r="AL19" i="2"/>
  <c r="AK19" i="2"/>
  <c r="AJ19" i="2"/>
  <c r="AI19" i="2"/>
  <c r="AH19" i="2"/>
  <c r="AE19" i="2"/>
  <c r="AF19" i="2" s="1"/>
  <c r="AR18" i="2"/>
  <c r="AQ18" i="2"/>
  <c r="AP18" i="2"/>
  <c r="AO18" i="2"/>
  <c r="AN18" i="2"/>
  <c r="AM18" i="2"/>
  <c r="AL18" i="2"/>
  <c r="AK18" i="2"/>
  <c r="AJ18" i="2"/>
  <c r="AI18" i="2"/>
  <c r="AH18" i="2"/>
  <c r="AE18" i="2"/>
  <c r="AF18" i="2" s="1"/>
  <c r="AR17" i="2"/>
  <c r="AQ17" i="2"/>
  <c r="AP17" i="2"/>
  <c r="AO17" i="2"/>
  <c r="AN17" i="2"/>
  <c r="AM17" i="2"/>
  <c r="AL17" i="2"/>
  <c r="AK17" i="2"/>
  <c r="AJ17" i="2"/>
  <c r="AI17" i="2"/>
  <c r="AH17" i="2"/>
  <c r="AE17" i="2"/>
  <c r="AF17" i="2" s="1"/>
  <c r="AR16" i="2"/>
  <c r="AQ16" i="2"/>
  <c r="AP16" i="2"/>
  <c r="AO16" i="2"/>
  <c r="AN16" i="2"/>
  <c r="AM16" i="2"/>
  <c r="AL16" i="2"/>
  <c r="AK16" i="2"/>
  <c r="AJ16" i="2"/>
  <c r="AI16" i="2"/>
  <c r="AH16" i="2"/>
  <c r="AE16" i="2"/>
  <c r="AF16" i="2" s="1"/>
  <c r="AR15" i="2"/>
  <c r="AQ15" i="2"/>
  <c r="AP15" i="2"/>
  <c r="AO15" i="2"/>
  <c r="AN15" i="2"/>
  <c r="AM15" i="2"/>
  <c r="AL15" i="2"/>
  <c r="AK15" i="2"/>
  <c r="AJ15" i="2"/>
  <c r="AI15" i="2"/>
  <c r="AE15" i="2"/>
  <c r="AF15" i="2" s="1"/>
  <c r="AT208" i="2" l="1"/>
  <c r="AT166" i="2"/>
  <c r="AT225" i="2"/>
  <c r="AT196" i="2"/>
  <c r="AT213" i="2"/>
  <c r="AT94" i="2"/>
  <c r="AT121" i="2"/>
  <c r="AT179" i="2"/>
  <c r="AT55" i="2"/>
  <c r="AT191" i="2"/>
  <c r="AT205" i="2"/>
  <c r="AT184" i="2"/>
  <c r="AT52" i="2"/>
  <c r="AT158" i="2"/>
  <c r="AT168" i="2"/>
  <c r="AT243" i="2"/>
  <c r="AT200" i="2"/>
  <c r="AT264" i="2"/>
  <c r="AT92" i="2"/>
  <c r="AT109" i="2"/>
  <c r="AT75" i="2"/>
  <c r="AT239" i="2"/>
  <c r="AT258" i="2"/>
  <c r="AT170" i="2"/>
  <c r="AT199" i="2"/>
  <c r="AT178" i="2"/>
  <c r="AT43" i="2"/>
  <c r="AT204" i="2"/>
  <c r="AT28" i="2"/>
  <c r="AT181" i="2"/>
  <c r="AT250" i="2"/>
  <c r="AT156" i="2"/>
  <c r="AT57" i="2"/>
  <c r="AT104" i="2"/>
  <c r="AT231" i="2"/>
  <c r="AT35" i="2"/>
  <c r="AT100" i="2"/>
  <c r="AT146" i="2"/>
  <c r="AT169" i="2"/>
  <c r="AT70" i="2"/>
  <c r="AT26" i="2"/>
  <c r="AT29" i="2"/>
  <c r="AT60" i="2"/>
  <c r="AT119" i="2"/>
  <c r="AT47" i="2"/>
  <c r="AT107" i="2"/>
  <c r="AT124" i="2"/>
  <c r="AT193" i="2"/>
  <c r="AT206" i="2"/>
  <c r="AT254" i="2"/>
  <c r="AT207" i="2"/>
  <c r="AT249" i="2"/>
  <c r="AT269" i="2"/>
  <c r="AT16" i="2"/>
  <c r="AT62" i="2"/>
  <c r="AT86" i="2"/>
  <c r="AT192" i="2"/>
  <c r="AS196" i="2"/>
  <c r="AT217" i="2"/>
  <c r="AT262" i="2"/>
  <c r="AT261" i="2"/>
  <c r="AT65" i="2"/>
  <c r="AT79" i="2"/>
  <c r="AT151" i="2"/>
  <c r="AT89" i="2"/>
  <c r="AT163" i="2"/>
  <c r="AT203" i="2"/>
  <c r="AT164" i="2"/>
  <c r="AT228" i="2"/>
  <c r="AT73" i="2"/>
  <c r="AT174" i="2"/>
  <c r="AT256" i="2"/>
  <c r="AT266" i="2"/>
  <c r="AT125" i="2"/>
  <c r="AT53" i="2"/>
  <c r="AS124" i="2"/>
  <c r="AT128" i="2"/>
  <c r="AS166" i="2"/>
  <c r="AT271" i="2"/>
  <c r="AT265" i="2"/>
  <c r="AT268" i="2"/>
  <c r="AT202" i="2"/>
  <c r="AT214" i="2"/>
  <c r="AT237" i="2"/>
  <c r="AT267" i="2"/>
  <c r="AS191" i="2"/>
  <c r="AT238" i="2"/>
  <c r="AS269" i="2"/>
  <c r="AS258" i="2"/>
  <c r="AT259" i="2"/>
  <c r="AT15" i="2"/>
  <c r="AT58" i="2"/>
  <c r="AS146" i="2"/>
  <c r="AT148" i="2"/>
  <c r="AT173" i="2"/>
  <c r="AT188" i="2"/>
  <c r="AT232" i="2"/>
  <c r="AT95" i="2"/>
  <c r="AS156" i="2"/>
  <c r="AS186" i="2"/>
  <c r="AT197" i="2"/>
  <c r="AT115" i="2"/>
  <c r="AT171" i="2"/>
  <c r="AS176" i="2"/>
  <c r="AT234" i="2"/>
  <c r="AT253" i="2"/>
  <c r="AT272" i="2"/>
  <c r="AS151" i="2"/>
  <c r="AT153" i="2"/>
  <c r="AT183" i="2"/>
  <c r="AT186" i="2"/>
  <c r="AT215" i="2"/>
  <c r="AS216" i="2"/>
  <c r="AT227" i="2"/>
  <c r="AT240" i="2"/>
  <c r="AS245" i="2"/>
  <c r="AT263" i="2"/>
  <c r="AS181" i="2"/>
  <c r="AS173" i="2"/>
  <c r="AT198" i="2"/>
  <c r="AT201" i="2"/>
  <c r="AS205" i="2"/>
  <c r="AT216" i="2"/>
  <c r="AT219" i="2"/>
  <c r="AT222" i="2"/>
  <c r="AT260" i="2"/>
  <c r="AT33" i="2"/>
  <c r="AT108" i="2"/>
  <c r="AT80" i="2"/>
  <c r="AT113" i="2"/>
  <c r="AT30" i="2"/>
  <c r="AT84" i="2"/>
  <c r="AT21" i="2"/>
  <c r="AT106" i="2"/>
  <c r="AT61" i="2"/>
  <c r="AS46" i="2"/>
  <c r="AT76" i="2"/>
  <c r="AT32" i="2"/>
  <c r="AT110" i="2"/>
  <c r="AS109" i="2"/>
  <c r="AS60" i="2"/>
  <c r="AT40" i="2"/>
  <c r="AS64" i="2"/>
  <c r="AS67" i="2"/>
  <c r="AT34" i="2"/>
  <c r="AT37" i="2"/>
  <c r="AT27" i="2"/>
  <c r="AT68" i="2"/>
  <c r="AT71" i="2"/>
  <c r="AS125" i="2"/>
  <c r="AT97" i="2"/>
  <c r="AT20" i="2"/>
  <c r="AS21" i="2"/>
  <c r="AT50" i="2"/>
  <c r="AT66" i="2"/>
  <c r="AT18" i="2"/>
  <c r="AT42" i="2"/>
  <c r="AT48" i="2"/>
  <c r="AS72" i="2"/>
  <c r="AS55" i="2"/>
  <c r="AT23" i="2"/>
  <c r="AT44" i="2"/>
  <c r="AS30" i="2"/>
  <c r="AS79" i="2"/>
  <c r="AT45" i="2"/>
  <c r="AT81" i="2"/>
  <c r="AS75" i="2"/>
  <c r="AT56" i="2"/>
  <c r="AT25" i="2"/>
  <c r="AT51" i="2"/>
  <c r="AS94" i="2"/>
  <c r="AT105" i="2"/>
  <c r="AS16" i="2"/>
  <c r="AS65" i="2"/>
  <c r="AS39" i="2"/>
  <c r="AS47" i="2"/>
  <c r="AS73" i="2"/>
  <c r="AS25" i="2"/>
  <c r="AT46" i="2"/>
  <c r="AS53" i="2"/>
  <c r="AS99" i="2"/>
  <c r="AS154" i="2"/>
  <c r="AS180" i="2"/>
  <c r="AS48" i="2"/>
  <c r="AS69" i="2"/>
  <c r="AS91" i="2"/>
  <c r="AS106" i="2"/>
  <c r="AS35" i="2"/>
  <c r="AS52" i="2"/>
  <c r="AS57" i="2"/>
  <c r="AS62" i="2"/>
  <c r="AT83" i="2"/>
  <c r="AS89" i="2"/>
  <c r="AS100" i="2"/>
  <c r="AS113" i="2"/>
  <c r="AS119" i="2"/>
  <c r="AT160" i="2"/>
  <c r="AS171" i="2"/>
  <c r="AS201" i="2"/>
  <c r="AS218" i="2"/>
  <c r="AS227" i="2"/>
  <c r="AS240" i="2"/>
  <c r="AS43" i="2"/>
  <c r="AT54" i="2"/>
  <c r="AT59" i="2"/>
  <c r="AT78" i="2"/>
  <c r="AS84" i="2"/>
  <c r="AS244" i="2"/>
  <c r="AS266" i="2"/>
  <c r="AT93" i="2"/>
  <c r="AS161" i="2"/>
  <c r="AS213" i="2"/>
  <c r="AT218" i="2"/>
  <c r="AT221" i="2"/>
  <c r="AT242" i="2"/>
  <c r="AS70" i="2"/>
  <c r="AT74" i="2"/>
  <c r="AT103" i="2"/>
  <c r="AS104" i="2"/>
  <c r="AS33" i="2"/>
  <c r="AS169" i="2"/>
  <c r="AT252" i="2"/>
  <c r="AT270" i="2"/>
  <c r="AS36" i="2"/>
  <c r="AS87" i="2"/>
  <c r="AS98" i="2"/>
  <c r="AS111" i="2"/>
  <c r="AS117" i="2"/>
  <c r="AS122" i="2"/>
  <c r="AS144" i="2"/>
  <c r="AS149" i="2"/>
  <c r="AS155" i="2"/>
  <c r="AS159" i="2"/>
  <c r="AT161" i="2"/>
  <c r="AS164" i="2"/>
  <c r="AS229" i="2"/>
  <c r="AS127" i="2"/>
  <c r="AS147" i="2"/>
  <c r="AS152" i="2"/>
  <c r="AS157" i="2"/>
  <c r="AS170" i="2"/>
  <c r="AS208" i="2"/>
  <c r="AT273" i="2"/>
  <c r="AT64" i="2"/>
  <c r="AS68" i="2"/>
  <c r="AS185" i="2"/>
  <c r="AS239" i="2"/>
  <c r="AS259" i="2"/>
  <c r="AS24" i="2"/>
  <c r="AS41" i="2"/>
  <c r="AS49" i="2"/>
  <c r="AT69" i="2"/>
  <c r="AS17" i="2"/>
  <c r="AT72" i="2"/>
  <c r="AS82" i="2"/>
  <c r="AS114" i="2"/>
  <c r="AS58" i="2"/>
  <c r="AS85" i="2"/>
  <c r="AS88" i="2"/>
  <c r="AS112" i="2"/>
  <c r="AS123" i="2"/>
  <c r="AS165" i="2"/>
  <c r="AS175" i="2"/>
  <c r="AS204" i="2"/>
  <c r="AS15" i="2"/>
  <c r="AT19" i="2"/>
  <c r="AT24" i="2"/>
  <c r="AT41" i="2"/>
  <c r="AT49" i="2"/>
  <c r="AS50" i="2"/>
  <c r="AS76" i="2"/>
  <c r="AS105" i="2"/>
  <c r="AS29" i="2"/>
  <c r="AS37" i="2"/>
  <c r="AS56" i="2"/>
  <c r="AS61" i="2"/>
  <c r="AS80" i="2"/>
  <c r="AS83" i="2"/>
  <c r="AT87" i="2"/>
  <c r="AT98" i="2"/>
  <c r="AT111" i="2"/>
  <c r="AT117" i="2"/>
  <c r="AT122" i="2"/>
  <c r="AT144" i="2"/>
  <c r="AT149" i="2"/>
  <c r="AT155" i="2"/>
  <c r="AT159" i="2"/>
  <c r="AS160" i="2"/>
  <c r="AT167" i="2"/>
  <c r="AT177" i="2"/>
  <c r="AT182" i="2"/>
  <c r="AT187" i="2"/>
  <c r="AS198" i="2"/>
  <c r="AS223" i="2"/>
  <c r="AT226" i="2"/>
  <c r="AS265" i="2"/>
  <c r="AS19" i="2"/>
  <c r="AS44" i="2"/>
  <c r="AS92" i="2"/>
  <c r="AS28" i="2"/>
  <c r="AS107" i="2"/>
  <c r="AS31" i="2"/>
  <c r="AS101" i="2"/>
  <c r="AS20" i="2"/>
  <c r="AT67" i="2"/>
  <c r="AS95" i="2"/>
  <c r="AS26" i="2"/>
  <c r="AS150" i="2"/>
  <c r="AT172" i="2"/>
  <c r="AS45" i="2"/>
  <c r="AS71" i="2"/>
  <c r="AS93" i="2"/>
  <c r="AS108" i="2"/>
  <c r="AS32" i="2"/>
  <c r="AT36" i="2"/>
  <c r="AS51" i="2"/>
  <c r="AS54" i="2"/>
  <c r="AS59" i="2"/>
  <c r="AS78" i="2"/>
  <c r="AT82" i="2"/>
  <c r="AS86" i="2"/>
  <c r="AT96" i="2"/>
  <c r="AS97" i="2"/>
  <c r="AT101" i="2"/>
  <c r="AS110" i="2"/>
  <c r="AT114" i="2"/>
  <c r="AS115" i="2"/>
  <c r="AT120" i="2"/>
  <c r="AS121" i="2"/>
  <c r="AT127" i="2"/>
  <c r="AS128" i="2"/>
  <c r="AT147" i="2"/>
  <c r="AS148" i="2"/>
  <c r="AT152" i="2"/>
  <c r="AS153" i="2"/>
  <c r="AT157" i="2"/>
  <c r="AS158" i="2"/>
  <c r="AT162" i="2"/>
  <c r="AS168" i="2"/>
  <c r="AS178" i="2"/>
  <c r="AS183" i="2"/>
  <c r="AS188" i="2"/>
  <c r="AS193" i="2"/>
  <c r="AS230" i="2"/>
  <c r="AS235" i="2"/>
  <c r="AT91" i="2"/>
  <c r="AS22" i="2"/>
  <c r="AS96" i="2"/>
  <c r="AS120" i="2"/>
  <c r="AS42" i="2"/>
  <c r="AS34" i="2"/>
  <c r="AS77" i="2"/>
  <c r="AS118" i="2"/>
  <c r="AS145" i="2"/>
  <c r="AS217" i="2"/>
  <c r="AT17" i="2"/>
  <c r="AS18" i="2"/>
  <c r="AT22" i="2"/>
  <c r="AS23" i="2"/>
  <c r="AT39" i="2"/>
  <c r="AS40" i="2"/>
  <c r="AS66" i="2"/>
  <c r="AS74" i="2"/>
  <c r="AS103" i="2"/>
  <c r="AS27" i="2"/>
  <c r="AT31" i="2"/>
  <c r="AT77" i="2"/>
  <c r="AS81" i="2"/>
  <c r="AT85" i="2"/>
  <c r="AT88" i="2"/>
  <c r="AT99" i="2"/>
  <c r="AT112" i="2"/>
  <c r="AT118" i="2"/>
  <c r="AT123" i="2"/>
  <c r="AT145" i="2"/>
  <c r="AT150" i="2"/>
  <c r="AT154" i="2"/>
  <c r="AS163" i="2"/>
  <c r="AT165" i="2"/>
  <c r="AT175" i="2"/>
  <c r="AT180" i="2"/>
  <c r="AT185" i="2"/>
  <c r="AT190" i="2"/>
  <c r="AT195" i="2"/>
  <c r="AT220" i="2"/>
  <c r="AS221" i="2"/>
  <c r="AT223" i="2"/>
  <c r="AT255" i="2"/>
  <c r="AT257" i="2"/>
  <c r="AS263" i="2"/>
  <c r="AS190" i="2"/>
  <c r="AS195" i="2"/>
  <c r="AS200" i="2"/>
  <c r="AT209" i="2"/>
  <c r="AT229" i="2"/>
  <c r="AT236" i="2"/>
  <c r="AT241" i="2"/>
  <c r="AS260" i="2"/>
  <c r="AS162" i="2"/>
  <c r="AS167" i="2"/>
  <c r="AS172" i="2"/>
  <c r="AS174" i="2"/>
  <c r="AT176" i="2"/>
  <c r="AS179" i="2"/>
  <c r="AS184" i="2"/>
  <c r="AS189" i="2"/>
  <c r="AS194" i="2"/>
  <c r="AS197" i="2"/>
  <c r="AS199" i="2"/>
  <c r="AS203" i="2"/>
  <c r="AS209" i="2"/>
  <c r="AS222" i="2"/>
  <c r="AT230" i="2"/>
  <c r="AS238" i="2"/>
  <c r="AT245" i="2"/>
  <c r="AS264" i="2"/>
  <c r="AS177" i="2"/>
  <c r="AS182" i="2"/>
  <c r="AS187" i="2"/>
  <c r="AS192" i="2"/>
  <c r="AS202" i="2"/>
  <c r="AS215" i="2"/>
  <c r="AS220" i="2"/>
  <c r="AS232" i="2"/>
  <c r="AT235" i="2"/>
  <c r="AT244" i="2"/>
  <c r="AT248" i="2"/>
  <c r="AS249" i="2"/>
  <c r="AT189" i="2"/>
  <c r="AT194" i="2"/>
  <c r="AS207" i="2"/>
  <c r="AT247" i="2"/>
  <c r="AS226" i="2"/>
  <c r="AS271" i="2"/>
  <c r="AS256" i="2"/>
  <c r="AS206" i="2"/>
  <c r="AS228" i="2"/>
  <c r="AS234" i="2"/>
  <c r="AS270" i="2"/>
  <c r="AS273" i="2"/>
  <c r="AS247" i="2"/>
  <c r="AS253" i="2"/>
  <c r="AS231" i="2"/>
  <c r="AS236" i="2"/>
  <c r="AS237" i="2"/>
  <c r="AS262" i="2"/>
  <c r="AS267" i="2"/>
  <c r="AS261" i="2"/>
  <c r="AS225" i="2"/>
  <c r="AS248" i="2"/>
  <c r="AS219" i="2"/>
  <c r="AS255" i="2"/>
  <c r="AS257" i="2"/>
  <c r="AS241" i="2"/>
  <c r="AS242" i="2"/>
  <c r="AS252" i="2"/>
  <c r="AS272" i="2"/>
  <c r="AS254" i="2"/>
  <c r="AS214" i="2"/>
  <c r="AS250" i="2"/>
  <c r="AS268" i="2"/>
  <c r="AS243" i="2"/>
</calcChain>
</file>

<file path=xl/sharedStrings.xml><?xml version="1.0" encoding="utf-8"?>
<sst xmlns="http://schemas.openxmlformats.org/spreadsheetml/2006/main" count="5615" uniqueCount="875">
  <si>
    <t>SiO2</t>
  </si>
  <si>
    <t>TiO2</t>
  </si>
  <si>
    <t>Al2O3</t>
  </si>
  <si>
    <t>Fe2O3</t>
  </si>
  <si>
    <t>FeO</t>
  </si>
  <si>
    <t>MnO</t>
  </si>
  <si>
    <t>MgO</t>
  </si>
  <si>
    <t>CaO</t>
  </si>
  <si>
    <t>Na2O</t>
  </si>
  <si>
    <t>K2O</t>
  </si>
  <si>
    <t>P2O5</t>
  </si>
  <si>
    <t>LOI</t>
  </si>
  <si>
    <t>sum</t>
  </si>
  <si>
    <t>FeOtot</t>
  </si>
  <si>
    <t>Li</t>
  </si>
  <si>
    <t>Be</t>
  </si>
  <si>
    <t>Sc</t>
  </si>
  <si>
    <t>V</t>
  </si>
  <si>
    <t>Cr</t>
  </si>
  <si>
    <t>Co</t>
  </si>
  <si>
    <t>Ni</t>
  </si>
  <si>
    <t>Cu</t>
  </si>
  <si>
    <t>Zn</t>
  </si>
  <si>
    <t>Ga</t>
  </si>
  <si>
    <t>Rb</t>
  </si>
  <si>
    <t>Sr</t>
  </si>
  <si>
    <t>Y</t>
  </si>
  <si>
    <t>Zr</t>
  </si>
  <si>
    <t>Nb</t>
  </si>
  <si>
    <t>Mo</t>
  </si>
  <si>
    <t>Sn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</si>
  <si>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</si>
  <si>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</si>
  <si>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</si>
  <si>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</si>
  <si>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</si>
  <si>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</si>
  <si>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</si>
  <si>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</si>
  <si>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</si>
  <si>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</si>
  <si>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</si>
  <si>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</si>
  <si>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</si>
  <si>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</si>
  <si>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</si>
  <si>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</si>
  <si>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</si>
  <si>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</si>
  <si>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</si>
  <si>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Th</t>
  </si>
  <si>
    <t>U</t>
  </si>
  <si>
    <t>basalt</t>
  </si>
  <si>
    <t>aphyric basalt, grey, vesicular</t>
  </si>
  <si>
    <t>338-43-2-111-118</t>
  </si>
  <si>
    <t>338-43-3-10-17</t>
  </si>
  <si>
    <t>338-43-4-89-95</t>
  </si>
  <si>
    <t>338-44-2-73-81</t>
  </si>
  <si>
    <t>338-44-3-29-35</t>
  </si>
  <si>
    <t>338-45-1-122-128</t>
  </si>
  <si>
    <t>338-45-2-12-18</t>
  </si>
  <si>
    <t>338-45-2-83-89</t>
  </si>
  <si>
    <t>plag phyric basalt, plag-px glomerocrysts up to 1 cm across</t>
  </si>
  <si>
    <t>342-7-2-77-85</t>
  </si>
  <si>
    <t>342-7-3-94-100</t>
  </si>
  <si>
    <t>342-7-5-139-144</t>
  </si>
  <si>
    <t>342-7-5-93-100</t>
  </si>
  <si>
    <t>342-8-1-101-106</t>
  </si>
  <si>
    <t>342-8-1-93-99</t>
  </si>
  <si>
    <t>342-8-2-144-150</t>
  </si>
  <si>
    <t>342-8-2-65-73</t>
  </si>
  <si>
    <t>342-8-2-9-16</t>
  </si>
  <si>
    <t>342-8-3-143-150</t>
  </si>
  <si>
    <t>342-8-4-144-150</t>
  </si>
  <si>
    <t>342-8-4-55-64</t>
  </si>
  <si>
    <t xml:space="preserve">volcaniclastic mudstone, tuffaceous </t>
  </si>
  <si>
    <t>343-12-2-147-150</t>
  </si>
  <si>
    <t>vesicular aphyric basalt, black clay fillings</t>
  </si>
  <si>
    <t>343-13-2-147-150</t>
  </si>
  <si>
    <t>343-13-2-24-30</t>
  </si>
  <si>
    <t>basat, plag microporphyritic, some clay ateration</t>
  </si>
  <si>
    <t>343-16-3-124-130</t>
  </si>
  <si>
    <t>low blank data</t>
  </si>
  <si>
    <t>45R3/128</t>
  </si>
  <si>
    <t>55R1/128</t>
  </si>
  <si>
    <t>59R2/040</t>
  </si>
  <si>
    <t>73R2/075</t>
  </si>
  <si>
    <t>80R1/025</t>
  </si>
  <si>
    <t>85R3/056</t>
  </si>
  <si>
    <t>n,a,</t>
  </si>
  <si>
    <t>94R1/050</t>
  </si>
  <si>
    <t>94R2/042</t>
  </si>
  <si>
    <t>98R2/057</t>
  </si>
  <si>
    <t>B2</t>
  </si>
  <si>
    <t>99R1/075</t>
  </si>
  <si>
    <t>102R3/116</t>
  </si>
  <si>
    <t>D5</t>
  </si>
  <si>
    <t>104R3/023</t>
  </si>
  <si>
    <t>105R1/097</t>
  </si>
  <si>
    <t>105R4/046</t>
  </si>
  <si>
    <t>105R4/093</t>
  </si>
  <si>
    <t>S46</t>
  </si>
  <si>
    <t>107R2/081</t>
  </si>
  <si>
    <t>D6</t>
  </si>
  <si>
    <t>107R4/063</t>
  </si>
  <si>
    <t>S48</t>
  </si>
  <si>
    <t>108R1/128</t>
  </si>
  <si>
    <t>108R1/129</t>
  </si>
  <si>
    <t>108R2/041</t>
  </si>
  <si>
    <t>109R1/050</t>
  </si>
  <si>
    <t>A2</t>
  </si>
  <si>
    <t>109R2/066</t>
  </si>
  <si>
    <t>A1</t>
  </si>
  <si>
    <t>109R2/092</t>
  </si>
  <si>
    <t>105R2/084</t>
  </si>
  <si>
    <t>105R2/130</t>
  </si>
  <si>
    <t>105R3/073</t>
  </si>
  <si>
    <t>107R2/104</t>
  </si>
  <si>
    <t>D7</t>
  </si>
  <si>
    <t>D8</t>
  </si>
  <si>
    <t>D9</t>
  </si>
  <si>
    <t>100R1/031</t>
  </si>
  <si>
    <t>D4</t>
  </si>
  <si>
    <t>101R1/098</t>
  </si>
  <si>
    <t>B1</t>
  </si>
  <si>
    <t>107R1/036</t>
  </si>
  <si>
    <t>108R2/051</t>
  </si>
  <si>
    <t>109R1/024</t>
  </si>
  <si>
    <t>109R2/079</t>
  </si>
  <si>
    <t>110R1/028</t>
  </si>
  <si>
    <t>107R3/142</t>
  </si>
  <si>
    <t>108R1/075</t>
  </si>
  <si>
    <t>S43</t>
  </si>
  <si>
    <t>094R4/126</t>
  </si>
  <si>
    <t>094R1/050</t>
  </si>
  <si>
    <t>n</t>
  </si>
  <si>
    <t>F64</t>
  </si>
  <si>
    <t>USE</t>
  </si>
  <si>
    <t>F49A</t>
  </si>
  <si>
    <t>USF</t>
  </si>
  <si>
    <t>F80</t>
  </si>
  <si>
    <t>USD</t>
  </si>
  <si>
    <t>F93</t>
  </si>
  <si>
    <t>F90</t>
  </si>
  <si>
    <t>F79</t>
  </si>
  <si>
    <t>F84</t>
  </si>
  <si>
    <t>F24</t>
  </si>
  <si>
    <t>USG</t>
  </si>
  <si>
    <t>F27</t>
  </si>
  <si>
    <t>F89</t>
  </si>
  <si>
    <t>F23</t>
  </si>
  <si>
    <t>F22</t>
  </si>
  <si>
    <t>F16</t>
  </si>
  <si>
    <t>F26</t>
  </si>
  <si>
    <t>USH</t>
  </si>
  <si>
    <t>F76</t>
  </si>
  <si>
    <t>F81</t>
  </si>
  <si>
    <t>F15</t>
  </si>
  <si>
    <t>USI</t>
  </si>
  <si>
    <t>F46</t>
  </si>
  <si>
    <t>F87</t>
  </si>
  <si>
    <t>F101</t>
  </si>
  <si>
    <t>F59</t>
  </si>
  <si>
    <t>F20A</t>
  </si>
  <si>
    <t>F82</t>
  </si>
  <si>
    <t>F98</t>
  </si>
  <si>
    <t>F78</t>
  </si>
  <si>
    <t>F48</t>
  </si>
  <si>
    <t>F7</t>
  </si>
  <si>
    <t>F52</t>
  </si>
  <si>
    <t>F39</t>
  </si>
  <si>
    <t>F58A</t>
  </si>
  <si>
    <t>F67</t>
  </si>
  <si>
    <t>F103A</t>
  </si>
  <si>
    <t>USC</t>
  </si>
  <si>
    <t>F28</t>
  </si>
  <si>
    <t>F62</t>
  </si>
  <si>
    <t>F97</t>
  </si>
  <si>
    <t>F53</t>
  </si>
  <si>
    <t>F96</t>
  </si>
  <si>
    <t>F56</t>
  </si>
  <si>
    <t>F45</t>
  </si>
  <si>
    <t>F11</t>
  </si>
  <si>
    <t>F103</t>
  </si>
  <si>
    <t>F88</t>
  </si>
  <si>
    <t>F37A</t>
  </si>
  <si>
    <t>F21</t>
  </si>
  <si>
    <t>F36</t>
  </si>
  <si>
    <t>F38</t>
  </si>
  <si>
    <t>F72</t>
  </si>
  <si>
    <t>F40</t>
  </si>
  <si>
    <t>F18</t>
  </si>
  <si>
    <t>F43</t>
  </si>
  <si>
    <t>F74</t>
  </si>
  <si>
    <t>F70</t>
  </si>
  <si>
    <t>F65</t>
  </si>
  <si>
    <t>F4</t>
  </si>
  <si>
    <t>F19</t>
  </si>
  <si>
    <t>F57A</t>
  </si>
  <si>
    <t>F91</t>
  </si>
  <si>
    <t>F99</t>
  </si>
  <si>
    <t>F105</t>
  </si>
  <si>
    <t>F92</t>
  </si>
  <si>
    <t>F102</t>
  </si>
  <si>
    <t>F12</t>
  </si>
  <si>
    <t>F33</t>
  </si>
  <si>
    <t>F29</t>
  </si>
  <si>
    <t>F100</t>
  </si>
  <si>
    <t>F94A</t>
  </si>
  <si>
    <t>F32</t>
  </si>
  <si>
    <t>F51</t>
  </si>
  <si>
    <t>F104A</t>
  </si>
  <si>
    <t>F60</t>
  </si>
  <si>
    <t>F9</t>
  </si>
  <si>
    <t>F75</t>
  </si>
  <si>
    <t>F63</t>
  </si>
  <si>
    <t>F17</t>
  </si>
  <si>
    <t>F99A</t>
  </si>
  <si>
    <t>F37</t>
  </si>
  <si>
    <t>F104</t>
  </si>
  <si>
    <t>F41</t>
  </si>
  <si>
    <t>F34</t>
  </si>
  <si>
    <t>F13</t>
  </si>
  <si>
    <t>F61</t>
  </si>
  <si>
    <t>F95</t>
  </si>
  <si>
    <t>F71</t>
  </si>
  <si>
    <t>F44</t>
  </si>
  <si>
    <t>F69</t>
  </si>
  <si>
    <t>F73</t>
  </si>
  <si>
    <t>F86</t>
  </si>
  <si>
    <t>F83</t>
  </si>
  <si>
    <t>F35</t>
  </si>
  <si>
    <t>F50</t>
  </si>
  <si>
    <t>F1</t>
  </si>
  <si>
    <t>F66</t>
  </si>
  <si>
    <t>F85</t>
  </si>
  <si>
    <t>F8</t>
  </si>
  <si>
    <t>F30</t>
  </si>
  <si>
    <t>F3</t>
  </si>
  <si>
    <t>F25</t>
  </si>
  <si>
    <t>F6</t>
  </si>
  <si>
    <t>F3A</t>
  </si>
  <si>
    <t>F2</t>
  </si>
  <si>
    <t>109-1,51-52</t>
  </si>
  <si>
    <t>F120</t>
  </si>
  <si>
    <t>F47</t>
  </si>
  <si>
    <t>Utgaard sills</t>
  </si>
  <si>
    <t>Upper</t>
  </si>
  <si>
    <t>n,d,</t>
  </si>
  <si>
    <t>Lower</t>
  </si>
  <si>
    <t>Leg</t>
  </si>
  <si>
    <t>DSDP 38</t>
  </si>
  <si>
    <t>Reference</t>
  </si>
  <si>
    <t>Core section</t>
  </si>
  <si>
    <t>Rock unit</t>
  </si>
  <si>
    <t>Rock type</t>
  </si>
  <si>
    <t>flow</t>
  </si>
  <si>
    <t>Classification</t>
  </si>
  <si>
    <t>Sample prep.</t>
  </si>
  <si>
    <t>Lab.</t>
  </si>
  <si>
    <t>Analyses</t>
  </si>
  <si>
    <t>XRF, Aarhus</t>
  </si>
  <si>
    <t>Corundum, Aarhus</t>
  </si>
  <si>
    <t>U1566-A</t>
  </si>
  <si>
    <t>U1571-A</t>
  </si>
  <si>
    <t>U1572-A</t>
  </si>
  <si>
    <t>U1573-A</t>
  </si>
  <si>
    <t>U1572-B</t>
  </si>
  <si>
    <t>U1574-A</t>
  </si>
  <si>
    <t>XRF, Qingdao</t>
  </si>
  <si>
    <t>U1570-A</t>
  </si>
  <si>
    <t>IODP 396</t>
  </si>
  <si>
    <t>Latitude</t>
  </si>
  <si>
    <t>Longitude</t>
  </si>
  <si>
    <t>FeOT</t>
  </si>
  <si>
    <t>Normalised to 100% volatile free</t>
  </si>
  <si>
    <t>Mg#</t>
  </si>
  <si>
    <t>U1570A-26R2-51-54</t>
  </si>
  <si>
    <t>U1570D-14R2-7-11</t>
  </si>
  <si>
    <t>U1565-A</t>
  </si>
  <si>
    <t>U1570-D</t>
  </si>
  <si>
    <t>intrusion</t>
  </si>
  <si>
    <t>pyroclastic</t>
  </si>
  <si>
    <t>granite</t>
  </si>
  <si>
    <t>dacite</t>
  </si>
  <si>
    <t>plag phyric basalt, plag-px glomerocrysts up to 1 cm across -- micro and macro plag phenocrysts</t>
  </si>
  <si>
    <t>XRF, Niigata</t>
  </si>
  <si>
    <t>Ge</t>
  </si>
  <si>
    <t>Morris et al. (2024)</t>
  </si>
  <si>
    <t>ODP 104</t>
  </si>
  <si>
    <t>642E</t>
  </si>
  <si>
    <t>F57-A</t>
  </si>
  <si>
    <t>F77</t>
  </si>
  <si>
    <t>F54</t>
  </si>
  <si>
    <t>F42</t>
  </si>
  <si>
    <t>F57</t>
  </si>
  <si>
    <t>F68</t>
  </si>
  <si>
    <t>F31</t>
  </si>
  <si>
    <t>F121</t>
  </si>
  <si>
    <t>F58</t>
  </si>
  <si>
    <t>F119</t>
  </si>
  <si>
    <t>F118</t>
  </si>
  <si>
    <t>F117</t>
  </si>
  <si>
    <t>F116</t>
  </si>
  <si>
    <t>F112</t>
  </si>
  <si>
    <t>F107</t>
  </si>
  <si>
    <t>F109</t>
  </si>
  <si>
    <t>S40</t>
  </si>
  <si>
    <t>Upper Series</t>
  </si>
  <si>
    <t>Lower Series</t>
  </si>
  <si>
    <t>dyke</t>
  </si>
  <si>
    <t>volcaniclastic sediment</t>
  </si>
  <si>
    <t>XRF</t>
  </si>
  <si>
    <t xml:space="preserve">V </t>
  </si>
  <si>
    <t xml:space="preserve">Y </t>
  </si>
  <si>
    <t>sill or dyke</t>
  </si>
  <si>
    <t>dacitic glass</t>
  </si>
  <si>
    <t>andesite</t>
  </si>
  <si>
    <t>basaltic</t>
  </si>
  <si>
    <t>rhyolitic</t>
  </si>
  <si>
    <t>107R-4, 79-85</t>
  </si>
  <si>
    <t>86R-2, 88-95</t>
  </si>
  <si>
    <t>21R-2, 96-102</t>
  </si>
  <si>
    <t>24R-3, 101-108</t>
  </si>
  <si>
    <t>27R-5, 30-35</t>
  </si>
  <si>
    <t>28R-4, 20-27</t>
  </si>
  <si>
    <t>28R-5, 18-24</t>
  </si>
  <si>
    <t>29R-2, 40-44</t>
  </si>
  <si>
    <t>30R-6, 89-94</t>
  </si>
  <si>
    <t>35R-2, 78-86</t>
  </si>
  <si>
    <t>15R-5, 45-48 cm</t>
  </si>
  <si>
    <t>35R-3; 49-56</t>
  </si>
  <si>
    <t>35R-4; 121-126</t>
  </si>
  <si>
    <t>35R-4, 72-77</t>
  </si>
  <si>
    <t>36R-2, 23-28</t>
  </si>
  <si>
    <t>37R-1, 33-40</t>
  </si>
  <si>
    <t>37R-2, 37-43</t>
  </si>
  <si>
    <t>37R-1, 25-33</t>
  </si>
  <si>
    <t>38R-4, 53-60</t>
  </si>
  <si>
    <t>41R-3, 142-147</t>
  </si>
  <si>
    <t>41R-3, 74-80</t>
  </si>
  <si>
    <t>42R-2, 25-30</t>
  </si>
  <si>
    <t>46R-3, 140-145</t>
  </si>
  <si>
    <t>47R-1, 113-119</t>
  </si>
  <si>
    <t>50R-2, 19-22</t>
  </si>
  <si>
    <t>51R-1, 27-33</t>
  </si>
  <si>
    <t>52R-4, 3-7</t>
  </si>
  <si>
    <t>52R-5, 30-34</t>
  </si>
  <si>
    <t>54R-3, 70-75</t>
  </si>
  <si>
    <t>56R-1, 1-4</t>
  </si>
  <si>
    <t>58R-1, 130-135</t>
  </si>
  <si>
    <t>60R-1, 16-23</t>
  </si>
  <si>
    <t>60R-2, 115-121</t>
  </si>
  <si>
    <t>61R-2, 40-48</t>
  </si>
  <si>
    <t>62R-1, 61-66</t>
  </si>
  <si>
    <t>64R-1, 65-71</t>
  </si>
  <si>
    <t>64R-4, 124-129</t>
  </si>
  <si>
    <t>64R-5, 84-86</t>
  </si>
  <si>
    <t>64R-5, 80-84</t>
  </si>
  <si>
    <t>66R-3, 70-76</t>
  </si>
  <si>
    <t>67R-1, 24-29</t>
  </si>
  <si>
    <t>68R-1, 137-144</t>
  </si>
  <si>
    <t>68R-1, 55-65</t>
  </si>
  <si>
    <t>68R-2, 124-129</t>
  </si>
  <si>
    <t>69R-1, 92-98</t>
  </si>
  <si>
    <t>69R-3, 125-129</t>
  </si>
  <si>
    <t>71R-2, 28-33</t>
  </si>
  <si>
    <t>71R-3, 48-53</t>
  </si>
  <si>
    <t>72R-2, 40-43</t>
  </si>
  <si>
    <t>74R-2, 50-54</t>
  </si>
  <si>
    <t>75R-1, 23-30</t>
  </si>
  <si>
    <t>75R-1, 53-56</t>
  </si>
  <si>
    <t>76R-2, 0-7</t>
  </si>
  <si>
    <t>77R-1, 66-76</t>
  </si>
  <si>
    <t>78R-1, 53-58</t>
  </si>
  <si>
    <t>79R-1, 110-117</t>
  </si>
  <si>
    <t>79R-2, 109-113</t>
  </si>
  <si>
    <t>81R-1, 90-95</t>
  </si>
  <si>
    <t>83R-2, 85-90</t>
  </si>
  <si>
    <t>85R-1, 71-77</t>
  </si>
  <si>
    <t>86R-1, 44-49</t>
  </si>
  <si>
    <t>86R-2, 131-136</t>
  </si>
  <si>
    <t>87R-1-71-73</t>
  </si>
  <si>
    <t>87R-2, 52-58</t>
  </si>
  <si>
    <t>90R-2, 68-72</t>
  </si>
  <si>
    <t>91R-1, 46-50</t>
  </si>
  <si>
    <t>93R-2, 48-52</t>
  </si>
  <si>
    <t>97R-2, 5-10</t>
  </si>
  <si>
    <t>98R-2, 66-70</t>
  </si>
  <si>
    <t>99R-2, 44-48</t>
  </si>
  <si>
    <t>101R-1, 70-75</t>
  </si>
  <si>
    <t>102R-2, 100-120</t>
  </si>
  <si>
    <t>105R-1, 114-120</t>
  </si>
  <si>
    <t>106R-1, 82-91</t>
  </si>
  <si>
    <t>107R-2, 87-90</t>
  </si>
  <si>
    <t>108R-2, 81-86</t>
  </si>
  <si>
    <t>109R-1, 6-10</t>
  </si>
  <si>
    <t>109R-2, 42-46</t>
  </si>
  <si>
    <t>110R-1, 50-55</t>
  </si>
  <si>
    <t>GEUS</t>
  </si>
  <si>
    <t>ICPMS, Niigata</t>
  </si>
  <si>
    <t>ICPMS, Qingdao</t>
  </si>
  <si>
    <t>XRF/ICPMS GEUS</t>
  </si>
  <si>
    <t>XRF, GEUS</t>
  </si>
  <si>
    <t>Neumann et al. (2013)</t>
  </si>
  <si>
    <t>Core 6607/5-2</t>
  </si>
  <si>
    <t>sill</t>
  </si>
  <si>
    <t>3855 m depth</t>
  </si>
  <si>
    <t>3807 m depth</t>
  </si>
  <si>
    <t>3858 m depth</t>
  </si>
  <si>
    <t>3864 m depth</t>
  </si>
  <si>
    <t>3867 m depth</t>
  </si>
  <si>
    <t>3879 m depth</t>
  </si>
  <si>
    <t>3882 m depth</t>
  </si>
  <si>
    <t>4647 m depth</t>
  </si>
  <si>
    <t>4650 m depth</t>
  </si>
  <si>
    <t>4674 m depth</t>
  </si>
  <si>
    <t>4683 m depth</t>
  </si>
  <si>
    <t>3873 m depth</t>
  </si>
  <si>
    <t>Description/Note</t>
  </si>
  <si>
    <t>dyke or sill</t>
  </si>
  <si>
    <t>109R1/023</t>
  </si>
  <si>
    <t>106R1/090</t>
  </si>
  <si>
    <t>Meyer et al. (2009)</t>
  </si>
  <si>
    <t>detailed I</t>
  </si>
  <si>
    <t>detailed II</t>
  </si>
  <si>
    <t>Viereck et al. (1989)</t>
  </si>
  <si>
    <t>Site/Hole</t>
  </si>
  <si>
    <t>XRF/INAA</t>
  </si>
  <si>
    <t>109-1,17-19</t>
  </si>
  <si>
    <t>108-2,51-53</t>
  </si>
  <si>
    <t>108-2,55-57</t>
  </si>
  <si>
    <t>109-2,79-81</t>
  </si>
  <si>
    <t>109-2,90-92</t>
  </si>
  <si>
    <t>106-1,86-88</t>
  </si>
  <si>
    <t>100-1,118-120</t>
  </si>
  <si>
    <t>98-1,48-50</t>
  </si>
  <si>
    <t>98-2,69-72</t>
  </si>
  <si>
    <t>102-2,114-115</t>
  </si>
  <si>
    <t>99-2,45-47</t>
  </si>
  <si>
    <t>102-2,23-25</t>
  </si>
  <si>
    <t>106-1,33-35</t>
  </si>
  <si>
    <t>98-1,60-62</t>
  </si>
  <si>
    <t>100-1,31-33</t>
  </si>
  <si>
    <t>102-2,113-115</t>
  </si>
  <si>
    <t>102-1,20-22</t>
  </si>
  <si>
    <t>102-2,4-6</t>
  </si>
  <si>
    <t>99-1,5-7</t>
  </si>
  <si>
    <t>97-1,133-135</t>
  </si>
  <si>
    <t>102-2,68-70</t>
  </si>
  <si>
    <t>98-2,16-18</t>
  </si>
  <si>
    <t>98-2,77-79</t>
  </si>
  <si>
    <t>97-1,130-132</t>
  </si>
  <si>
    <t>98-1,58-60</t>
  </si>
  <si>
    <t>97-2,129-131</t>
  </si>
  <si>
    <t>98-2,81-83</t>
  </si>
  <si>
    <t>102-2,94-96</t>
  </si>
  <si>
    <t>98-1,147-149</t>
  </si>
  <si>
    <t>102-1,33-35</t>
  </si>
  <si>
    <t>F115</t>
  </si>
  <si>
    <t>F113</t>
  </si>
  <si>
    <t>F108</t>
  </si>
  <si>
    <t>F114</t>
  </si>
  <si>
    <t>F110</t>
  </si>
  <si>
    <t>105-2,84-86</t>
  </si>
  <si>
    <t>107-2,82-84</t>
  </si>
  <si>
    <t>104-1,18-20</t>
  </si>
  <si>
    <t>110-1,44-46</t>
  </si>
  <si>
    <t>101-2,25-27</t>
  </si>
  <si>
    <t>101-1,98-100</t>
  </si>
  <si>
    <t>101-1,109-111</t>
  </si>
  <si>
    <t>D1</t>
  </si>
  <si>
    <t>D2</t>
  </si>
  <si>
    <t>D3</t>
  </si>
  <si>
    <t>S4</t>
  </si>
  <si>
    <t>S5</t>
  </si>
  <si>
    <t>S26</t>
  </si>
  <si>
    <t>S19</t>
  </si>
  <si>
    <t>S16</t>
  </si>
  <si>
    <t>S17</t>
  </si>
  <si>
    <t>S41</t>
  </si>
  <si>
    <t>S21</t>
  </si>
  <si>
    <t>S10</t>
  </si>
  <si>
    <t>S6</t>
  </si>
  <si>
    <t>S12</t>
  </si>
  <si>
    <t>S22</t>
  </si>
  <si>
    <t>S3X</t>
  </si>
  <si>
    <t>42-2, 144-147</t>
  </si>
  <si>
    <t>43-1, 141-143</t>
  </si>
  <si>
    <t>43-2, 115-118</t>
  </si>
  <si>
    <t>43-3,43-45</t>
  </si>
  <si>
    <t>43-4, 54-57</t>
  </si>
  <si>
    <t>44-2, 65-68</t>
  </si>
  <si>
    <t>44-3,48-51</t>
  </si>
  <si>
    <t>45-2, 47-50</t>
  </si>
  <si>
    <t>45-2, 56-59</t>
  </si>
  <si>
    <t>7-2, 40-43</t>
  </si>
  <si>
    <t>7-2, 137-140</t>
  </si>
  <si>
    <t>7-3, 55-58</t>
  </si>
  <si>
    <t>7-4, 30-33</t>
  </si>
  <si>
    <t>7-5, 4-7</t>
  </si>
  <si>
    <t>7-5, 126-129</t>
  </si>
  <si>
    <t>8-2, 20-23</t>
  </si>
  <si>
    <t>8-2, 65-68</t>
  </si>
  <si>
    <t>8-3, 137-140</t>
  </si>
  <si>
    <t>12-2, 140-143</t>
  </si>
  <si>
    <t>13-1, 45-48</t>
  </si>
  <si>
    <t>13-2, 5-8</t>
  </si>
  <si>
    <t>13-2,100-103</t>
  </si>
  <si>
    <t>13-2, 20-23</t>
  </si>
  <si>
    <t>14-1, 145-148</t>
  </si>
  <si>
    <t>16-3, 144-147</t>
  </si>
  <si>
    <t>Kharin (1976)</t>
  </si>
  <si>
    <t>Ridley et L. (1976), Schilling (1976)</t>
  </si>
  <si>
    <t>Parson et al. (1989)</t>
  </si>
  <si>
    <t>Ridley et al. (1976), Schilling (1976)</t>
  </si>
  <si>
    <t>102-1, 146-40</t>
  </si>
  <si>
    <t>102-1,13-15</t>
  </si>
  <si>
    <t>110-1,28-30</t>
  </si>
  <si>
    <t>05R-3 94-96 338.8 Fl</t>
  </si>
  <si>
    <t>latite</t>
  </si>
  <si>
    <t>07R-2 78-80 359.2 F2</t>
  </si>
  <si>
    <t>basaltic andesite</t>
  </si>
  <si>
    <t>07R-3 13-15 360.4 F3</t>
  </si>
  <si>
    <t>10R-1 147-149 379.3 F3A</t>
  </si>
  <si>
    <t>11R-1 113-115 383.6 F4</t>
  </si>
  <si>
    <t>12R-1 85-87 392.6 F6</t>
  </si>
  <si>
    <t>13R-1 41-43 396.2 F7</t>
  </si>
  <si>
    <t>14R-1 132-134 402.3 F8</t>
  </si>
  <si>
    <t>15R-1 81-83 406.2 F9</t>
  </si>
  <si>
    <t>15R-3 121-123 409.6 Fll</t>
  </si>
  <si>
    <t>15R-5  8-10 412.8 F12</t>
  </si>
  <si>
    <t>15R-5 48-50 412.2 F13</t>
  </si>
  <si>
    <t>16R-1 62-64 416.1 F15</t>
  </si>
  <si>
    <t>16R-2 138-140 418.5 F16</t>
  </si>
  <si>
    <t>18R-1 94-96 434.1 F17</t>
  </si>
  <si>
    <t>19R-2 38-40 443 F18</t>
  </si>
  <si>
    <t>20R-4 49-51 456.9 F19</t>
  </si>
  <si>
    <t>21R-2 134-136 465.5 F20A</t>
  </si>
  <si>
    <t>21R-4 47-49 467.7 F21</t>
  </si>
  <si>
    <t>22R-2 120-122 472 F22</t>
  </si>
  <si>
    <t>22R-4 148-150 475.3 F23</t>
  </si>
  <si>
    <t>22R-6 118-120 478.1 F24</t>
  </si>
  <si>
    <t>23R-2 144-146 482.9 F25</t>
  </si>
  <si>
    <t>23R-3 137-139 486.4 F26</t>
  </si>
  <si>
    <t>25R-3 58-60 495 F27</t>
  </si>
  <si>
    <t>26R-5 88-90 504.9 F28</t>
  </si>
  <si>
    <t>27R-4 103-105 514.9 F29</t>
  </si>
  <si>
    <t>28R-4 5-6 523.2 F30</t>
  </si>
  <si>
    <t>28R-4 86-88 524.5 F32</t>
  </si>
  <si>
    <t>28R-4 134-136 526.4 F33</t>
  </si>
  <si>
    <t>29R-1 6-8 527 F34</t>
  </si>
  <si>
    <t>29R-1 105-107 530.2 F35</t>
  </si>
  <si>
    <t>30R-4 31-33 540 F36</t>
  </si>
  <si>
    <t>31R-2 36-38 548.2 F37</t>
  </si>
  <si>
    <t>32R-3 55-57 559.3 F37A</t>
  </si>
  <si>
    <t>33R-2 42-44 566.2 F38</t>
  </si>
  <si>
    <t>33R-4 36-38 571.6 F38</t>
  </si>
  <si>
    <t>35R-2 3-5 583.1 F39</t>
  </si>
  <si>
    <t>35R-3 48-50 585.9 F40</t>
  </si>
  <si>
    <t>35R-4 60-62 589.1 F41</t>
  </si>
  <si>
    <t>36R-1 143-145 592.8 F43</t>
  </si>
  <si>
    <t>36R-2 114-116 594.6 F44</t>
  </si>
  <si>
    <t>37R-2 42-44 607 F45</t>
  </si>
  <si>
    <t>38R-2 91-93 609.9 F46</t>
  </si>
  <si>
    <t>38R-4 9-11 614.7 F47</t>
  </si>
  <si>
    <t>40R-1 77-79 626.7 F48</t>
  </si>
  <si>
    <t>41R-1 4-6 636.6 F49A</t>
  </si>
  <si>
    <t>41R-2 26-28 641.5 F50</t>
  </si>
  <si>
    <t>41R-3 110-112 645.3 F51</t>
  </si>
  <si>
    <t>42R-2 57-59 651.3 F52</t>
  </si>
  <si>
    <t>45R-5 62-64 682.9 F53</t>
  </si>
  <si>
    <t>50R-1 118-120 712.3 F56</t>
  </si>
  <si>
    <t>52R-1 90-92 718.3 F57A</t>
  </si>
  <si>
    <t>54R-1 117-119 733.7 F58A</t>
  </si>
  <si>
    <t>54R-3 86-88 740.8 F59</t>
  </si>
  <si>
    <t>56R-1 22-24 754.2 F60</t>
  </si>
  <si>
    <t>58R-1 104-106 764.5 F61</t>
  </si>
  <si>
    <t>59R-3 69-71 775 F62</t>
  </si>
  <si>
    <t>60R-2 7-9 784.1 F63</t>
  </si>
  <si>
    <t>61R-2 12-14 797.3 F64</t>
  </si>
  <si>
    <t>61R-2 128-130 801.5 F65</t>
  </si>
  <si>
    <t>62R-1 102-104 806.4 F66</t>
  </si>
  <si>
    <t>64R-1 95-97 811.9 F67</t>
  </si>
  <si>
    <t>64R-5 60-63 821.3 F69</t>
  </si>
  <si>
    <t>65R-1 23-25 822.9 F70</t>
  </si>
  <si>
    <t>65R-1 104-106 827 F71</t>
  </si>
  <si>
    <t>66R-3 143-145 839.8 F72</t>
  </si>
  <si>
    <t>67R-1 81-83 841.4 F73</t>
  </si>
  <si>
    <t>67R-2 77-79 845.5 F74</t>
  </si>
  <si>
    <t>68R-1 79-81 848.6 F75</t>
  </si>
  <si>
    <t>68R-2 19-21 856.2 F76</t>
  </si>
  <si>
    <t>69R-2 70-72 870.1 F78</t>
  </si>
  <si>
    <t>69R-4 5-7 871 F79</t>
  </si>
  <si>
    <t>70R-2 14-16 879.5 F80</t>
  </si>
  <si>
    <t>71R-1 142-144 881.7 F81</t>
  </si>
  <si>
    <t>71R-4 12-14 888.7 F82</t>
  </si>
  <si>
    <t>72R-2 42-44 893.2 F83</t>
  </si>
  <si>
    <t>73R-3 63-65 897.6 F84</t>
  </si>
  <si>
    <t>75R-1 29-31 911.1 F85</t>
  </si>
  <si>
    <t>75R-2 84-86 917.5 F86</t>
  </si>
  <si>
    <t>76R-1 134-136 919.5 F87</t>
  </si>
  <si>
    <t>76R-2 122-124 923.9 F88</t>
  </si>
  <si>
    <t>77R-3 99-101 935.4 F89</t>
  </si>
  <si>
    <t>78R-2 32-34 937.7 F90</t>
  </si>
  <si>
    <t>79R-1 26-28 944.3 F91</t>
  </si>
  <si>
    <t>79R-2 26-28 957 F92</t>
  </si>
  <si>
    <t>80R-1 12-14 964.2 F93</t>
  </si>
  <si>
    <t>81R-1 96-98 972.7 F94A</t>
  </si>
  <si>
    <t>83R-1 26-28 979 F95</t>
  </si>
  <si>
    <t>84R-1 11-13 996.2 F96</t>
  </si>
  <si>
    <t>85R-3 95-97 1001.6 F97</t>
  </si>
  <si>
    <t>86R-1 34-36 1014.4 F98</t>
  </si>
  <si>
    <t>86R-3 37-40 1020.9 F99</t>
  </si>
  <si>
    <t>86R-4 29-32 1024.3 F99A</t>
  </si>
  <si>
    <t>87R-1 4-6 1027.7 F100</t>
  </si>
  <si>
    <t>87R-2 44-46 1029.7 F101</t>
  </si>
  <si>
    <t>88R-2 63-65 1043.8 F102</t>
  </si>
  <si>
    <t>89R-1 112-114 1045.2 F103</t>
  </si>
  <si>
    <t>90R-2 16-18 1050.8 F103A</t>
  </si>
  <si>
    <t>90R-3 128-130 1057.3 F104</t>
  </si>
  <si>
    <t>91R-2 75-77 1064.3 F104A</t>
  </si>
  <si>
    <t>93R-3 39-41 1073 F105</t>
  </si>
  <si>
    <t>93R-4 127-130 1073.9 F105</t>
  </si>
  <si>
    <t>93R-4 135-138 1074 F105</t>
  </si>
  <si>
    <t>10R-1 50-60 375.9 D2</t>
  </si>
  <si>
    <t>10R-2 35-40 380.1 D3</t>
  </si>
  <si>
    <t>04R-1 58-59 326.8 S4</t>
  </si>
  <si>
    <t>05R-3 132-134 339.2 S5</t>
  </si>
  <si>
    <t>03R-1 14-18 323.3 S3X</t>
  </si>
  <si>
    <t>07R-2 115-117 359.5 S6</t>
  </si>
  <si>
    <t>19R-5 23-25 449 S10</t>
  </si>
  <si>
    <t>23R-1 112-114 480.9 S12</t>
  </si>
  <si>
    <t>27R-2 48-50 511.1 S16</t>
  </si>
  <si>
    <t>28R-3 126-128 521.3 S17</t>
  </si>
  <si>
    <t>35R-2 108-110 584.1 S19</t>
  </si>
  <si>
    <t>42R-1 72-76 649.7 S21</t>
  </si>
  <si>
    <t>45R-1 30-32 676.4 S22</t>
  </si>
  <si>
    <t>54R-2 73-74 739.1 S26</t>
  </si>
  <si>
    <t>86R-2 0-2 1016.5 S40</t>
  </si>
  <si>
    <t>87R-1 103-105 1028.7 S41</t>
  </si>
  <si>
    <t>94R-4 126-128 1088.4 S43</t>
  </si>
  <si>
    <t>95R-1 134-137 1091.5 S43</t>
  </si>
  <si>
    <t>Site 642E; Upper Series lavas</t>
  </si>
  <si>
    <t>Site 642E; Upper Series volcaniclastic sediments</t>
  </si>
  <si>
    <t>Site 642E; Lower Series flows</t>
  </si>
  <si>
    <t>Site 338; flows</t>
  </si>
  <si>
    <t>Site 342; flows</t>
  </si>
  <si>
    <t>Site 343; flows</t>
  </si>
  <si>
    <t>Site 642E;  Upper Series dykes and sills</t>
  </si>
  <si>
    <t>Site 642E Lower Series; dykes and sills</t>
  </si>
  <si>
    <t>09R-2 39-41 367.9 D1</t>
  </si>
  <si>
    <t>Site 642E; Lower Series volcaniclastic sediments</t>
  </si>
  <si>
    <t>Site U1566</t>
  </si>
  <si>
    <t>Site U1571</t>
  </si>
  <si>
    <t>Site U1572</t>
  </si>
  <si>
    <t>Site U1573</t>
  </si>
  <si>
    <t>Site U1574</t>
  </si>
  <si>
    <t>Site U1565 and U1566 (granite)</t>
  </si>
  <si>
    <t>Site U1570 (dacite)</t>
  </si>
  <si>
    <t>Site 642E; Lower Series flows, dykes, sills</t>
  </si>
  <si>
    <t>07R2/115</t>
  </si>
  <si>
    <t>09R1/140</t>
  </si>
  <si>
    <t>15R3/121</t>
  </si>
  <si>
    <t>16R1/062</t>
  </si>
  <si>
    <t>21R2/070</t>
  </si>
  <si>
    <t>22R2/120</t>
  </si>
  <si>
    <t>23R1/000</t>
  </si>
  <si>
    <t>26R2/088</t>
  </si>
  <si>
    <t>27R2/048</t>
  </si>
  <si>
    <t>30R4/031</t>
  </si>
  <si>
    <t>31R2/036</t>
  </si>
  <si>
    <t>35R2/003</t>
  </si>
  <si>
    <t>35R2/108</t>
  </si>
  <si>
    <t>37R2/042</t>
  </si>
  <si>
    <t>38R3/126</t>
  </si>
  <si>
    <t>41R1/004</t>
  </si>
  <si>
    <t>42R1/072</t>
  </si>
  <si>
    <t>50R1/118</t>
  </si>
  <si>
    <t>54R1/117</t>
  </si>
  <si>
    <t>54R2/073</t>
  </si>
  <si>
    <t>54R3/086</t>
  </si>
  <si>
    <t>59R3/069</t>
  </si>
  <si>
    <t>59R3/076</t>
  </si>
  <si>
    <t>61R2/128</t>
  </si>
  <si>
    <t>64R1/095</t>
  </si>
  <si>
    <t>69R2/070</t>
  </si>
  <si>
    <t>69R4/005</t>
  </si>
  <si>
    <t>70R2/014</t>
  </si>
  <si>
    <t>71R4/012</t>
  </si>
  <si>
    <t>73R3/063</t>
  </si>
  <si>
    <t>76R1/134</t>
  </si>
  <si>
    <t>77R3/099</t>
  </si>
  <si>
    <t>78R2/032</t>
  </si>
  <si>
    <t>80R1/012</t>
  </si>
  <si>
    <t>80R3/017</t>
  </si>
  <si>
    <t>85R2/056</t>
  </si>
  <si>
    <t>86R2/002</t>
  </si>
  <si>
    <t>86R2/005</t>
  </si>
  <si>
    <t>87R1/046</t>
  </si>
  <si>
    <t>87R2/044</t>
  </si>
  <si>
    <t>89R1/112</t>
  </si>
  <si>
    <t>89R1/134</t>
  </si>
  <si>
    <t>90R2/016</t>
  </si>
  <si>
    <t>90R3/092</t>
  </si>
  <si>
    <t>90R3/128</t>
  </si>
  <si>
    <t>91R1/000</t>
  </si>
  <si>
    <t>91R2/041</t>
  </si>
  <si>
    <t>91R2/078</t>
  </si>
  <si>
    <t>93R1/069</t>
  </si>
  <si>
    <t>93R3/039</t>
  </si>
  <si>
    <t>93R3/082</t>
  </si>
  <si>
    <t>93R3/084</t>
  </si>
  <si>
    <t>93R4/079</t>
  </si>
  <si>
    <t>94R2/062</t>
  </si>
  <si>
    <t>98R2/050</t>
  </si>
  <si>
    <t>102R1/003</t>
  </si>
  <si>
    <t>aphyric basalt, clay altered</t>
  </si>
  <si>
    <t>1566-A-5-R-1, 93-96 cm</t>
    <phoneticPr fontId="15" type="noConversion"/>
  </si>
  <si>
    <t>1566-A-7-R-2, 68-71</t>
    <phoneticPr fontId="15" type="noConversion"/>
  </si>
  <si>
    <t>1566-A-9-R-4, 9-12</t>
    <phoneticPr fontId="15" type="noConversion"/>
  </si>
  <si>
    <t>1566-A-12-R-2, 99-102</t>
    <phoneticPr fontId="15" type="noConversion"/>
  </si>
  <si>
    <t>1566-A-14-R-2, 39-42</t>
    <phoneticPr fontId="15" type="noConversion"/>
  </si>
  <si>
    <t>1566-A-17-R-1, 34-37</t>
    <phoneticPr fontId="15" type="noConversion"/>
  </si>
  <si>
    <t>1566-A-18-R-3, 108-110</t>
    <phoneticPr fontId="15" type="noConversion"/>
  </si>
  <si>
    <t>1566-A-19-R-2, 140-141.5</t>
    <phoneticPr fontId="15" type="noConversion"/>
  </si>
  <si>
    <t>1566-A-21-R-2, 118-120</t>
    <phoneticPr fontId="15" type="noConversion"/>
  </si>
  <si>
    <t>1566-A-25-R-1, 68.5-71</t>
    <phoneticPr fontId="15" type="noConversion"/>
  </si>
  <si>
    <t>1566-A-27-R-4, 3-6</t>
    <phoneticPr fontId="15" type="noConversion"/>
  </si>
  <si>
    <t>1571-A-18-R-3, 8-11</t>
    <phoneticPr fontId="15" type="noConversion"/>
  </si>
  <si>
    <t>1571-A-23-R-1, 20-24</t>
    <phoneticPr fontId="15" type="noConversion"/>
  </si>
  <si>
    <t>1571-A-24-R-2, 87-90</t>
    <phoneticPr fontId="15" type="noConversion"/>
  </si>
  <si>
    <t>1571-A-26-R-2, 32-35</t>
    <phoneticPr fontId="15" type="noConversion"/>
  </si>
  <si>
    <t>1571-A-28-R-3, 54.5-57.5</t>
    <phoneticPr fontId="15" type="noConversion"/>
  </si>
  <si>
    <t>1571-A-31-R-1, 58.5-61.5</t>
    <phoneticPr fontId="15" type="noConversion"/>
  </si>
  <si>
    <t>1571-A-32-R-3, 32.5-36.5</t>
    <phoneticPr fontId="15" type="noConversion"/>
  </si>
  <si>
    <t>1571-A-33-R-3, 54-57</t>
    <phoneticPr fontId="15" type="noConversion"/>
  </si>
  <si>
    <t>1571-A-35-R-1, 98-101</t>
    <phoneticPr fontId="15" type="noConversion"/>
  </si>
  <si>
    <t>1571-A-37-R-1, 76-79</t>
    <phoneticPr fontId="15" type="noConversion"/>
  </si>
  <si>
    <t>1571-A-38-R-2, 91-94</t>
    <phoneticPr fontId="15" type="noConversion"/>
  </si>
  <si>
    <t>1571-A-39-R-2, 28-31</t>
    <phoneticPr fontId="15" type="noConversion"/>
  </si>
  <si>
    <t>1572-A-23-R-1, 83-86</t>
    <phoneticPr fontId="15" type="noConversion"/>
  </si>
  <si>
    <t>1572-A-24-R-4, 44-47</t>
    <phoneticPr fontId="15" type="noConversion"/>
  </si>
  <si>
    <t>1572-A-26-R-3, 72-75.5</t>
    <phoneticPr fontId="15" type="noConversion"/>
  </si>
  <si>
    <t>1572-A-29-R-2, 71-74</t>
    <phoneticPr fontId="15" type="noConversion"/>
  </si>
  <si>
    <t>1572-A-33-R-2, 71.5-75</t>
    <phoneticPr fontId="15" type="noConversion"/>
  </si>
  <si>
    <t>1572-A-34-R-3, 82.5-85.5</t>
    <phoneticPr fontId="15" type="noConversion"/>
  </si>
  <si>
    <t>1572-A-36-R-1, 96-99</t>
    <phoneticPr fontId="15" type="noConversion"/>
  </si>
  <si>
    <t>1572-A-38-R-4, 60-63</t>
    <phoneticPr fontId="15" type="noConversion"/>
  </si>
  <si>
    <t>1572-A-40-R-3, 26.5-29.5</t>
    <phoneticPr fontId="15" type="noConversion"/>
  </si>
  <si>
    <t>1572-A-43-R-3, 41-44</t>
    <phoneticPr fontId="15" type="noConversion"/>
  </si>
  <si>
    <t>1572-A-45-R-2, 63-66</t>
    <phoneticPr fontId="15" type="noConversion"/>
  </si>
  <si>
    <t>1572-B-30-X-1, 47-50</t>
    <phoneticPr fontId="15" type="noConversion"/>
  </si>
  <si>
    <t>1572-B-32-X-1, 12-15</t>
    <phoneticPr fontId="15" type="noConversion"/>
  </si>
  <si>
    <t>1573-A-11-R-1, 133-136</t>
    <phoneticPr fontId="15" type="noConversion"/>
  </si>
  <si>
    <t>1573-A-12-R-3, 4-7</t>
    <phoneticPr fontId="15" type="noConversion"/>
  </si>
  <si>
    <t>1573-A-14-R-1, 37.5-40.5</t>
    <phoneticPr fontId="15" type="noConversion"/>
  </si>
  <si>
    <t>1573-A-15-R-2, 88-91</t>
    <phoneticPr fontId="15" type="noConversion"/>
  </si>
  <si>
    <t>1573-A-17-R-2, 19-22</t>
    <phoneticPr fontId="15" type="noConversion"/>
  </si>
  <si>
    <t>1574-A-19-R-1, 87-90</t>
    <phoneticPr fontId="15" type="noConversion"/>
  </si>
  <si>
    <t>1574-A-21-R-1, 71-74</t>
    <phoneticPr fontId="15" type="noConversion"/>
  </si>
  <si>
    <t>1574-A-23-R-2, 129-132</t>
    <phoneticPr fontId="15" type="noConversion"/>
  </si>
  <si>
    <t>1574-A-24-R-4, 82-85</t>
    <phoneticPr fontId="15" type="noConversion"/>
  </si>
  <si>
    <t>1574-A-29-R-1, 35-38</t>
    <phoneticPr fontId="15" type="noConversion"/>
  </si>
  <si>
    <t>1574-A-35-R-1, 82-85</t>
    <phoneticPr fontId="15" type="noConversion"/>
  </si>
  <si>
    <t>1574-A-38-R-2, 79.5-82.5</t>
    <phoneticPr fontId="15" type="noConversion"/>
  </si>
  <si>
    <t>1566-A-4-R-1, 69-72</t>
    <phoneticPr fontId="15" type="noConversion"/>
  </si>
  <si>
    <t>1566-A-6-R-2, 43-46</t>
    <phoneticPr fontId="15" type="noConversion"/>
  </si>
  <si>
    <t>1566-A-8-R-2, 111-114</t>
    <phoneticPr fontId="15" type="noConversion"/>
  </si>
  <si>
    <t>1566-A-11-R-2, 36-39</t>
    <phoneticPr fontId="15" type="noConversion"/>
  </si>
  <si>
    <t>1566-A-13-R-2, 90-93</t>
    <phoneticPr fontId="15" type="noConversion"/>
  </si>
  <si>
    <t>1566-A-15-R-2, 62-65</t>
    <phoneticPr fontId="15" type="noConversion"/>
  </si>
  <si>
    <t>1566-A-18-R-1,72-74</t>
    <phoneticPr fontId="15" type="noConversion"/>
  </si>
  <si>
    <t>1566-A-19-R-1, 105-107</t>
    <phoneticPr fontId="15" type="noConversion"/>
  </si>
  <si>
    <t>1566-A-20-R-1, 115-117</t>
    <phoneticPr fontId="15" type="noConversion"/>
  </si>
  <si>
    <t>1566-A-22-R-2, 42.5-44.5</t>
    <phoneticPr fontId="15" type="noConversion"/>
  </si>
  <si>
    <t>1566-A-26-R-2, 62-65</t>
    <phoneticPr fontId="15" type="noConversion"/>
  </si>
  <si>
    <t>1566-A-28-R-3, 33-36</t>
    <phoneticPr fontId="15" type="noConversion"/>
  </si>
  <si>
    <t>1571-A-16-R-1, 43-46</t>
    <phoneticPr fontId="15" type="noConversion"/>
  </si>
  <si>
    <t>1571-A-22-R-2, 83-86</t>
    <phoneticPr fontId="15" type="noConversion"/>
  </si>
  <si>
    <t>1571-A-23-R-4, 53-56</t>
    <phoneticPr fontId="15" type="noConversion"/>
  </si>
  <si>
    <t>1571-A-25-R-1, 87-90</t>
    <phoneticPr fontId="15" type="noConversion"/>
  </si>
  <si>
    <t>1571-A-26-R-4, 47.5-50.5</t>
    <phoneticPr fontId="15" type="noConversion"/>
  </si>
  <si>
    <t>1571-A-30-R-1, 70-73</t>
    <phoneticPr fontId="15" type="noConversion"/>
  </si>
  <si>
    <t>1571-A-32-R-2, 32.5-36.5</t>
    <phoneticPr fontId="15" type="noConversion"/>
  </si>
  <si>
    <t>1571-A-33-R-2, 96-100</t>
    <phoneticPr fontId="15" type="noConversion"/>
  </si>
  <si>
    <t>1571-A-34-R-1, 53.5-56.5</t>
    <phoneticPr fontId="15" type="noConversion"/>
  </si>
  <si>
    <t>1571-A-36-R-3, 43-46</t>
    <phoneticPr fontId="15" type="noConversion"/>
  </si>
  <si>
    <t>1571-A-37-R-3, 22-25</t>
    <phoneticPr fontId="15" type="noConversion"/>
  </si>
  <si>
    <t>1571-A-39-R-1, 64-67</t>
    <phoneticPr fontId="15" type="noConversion"/>
  </si>
  <si>
    <t>1572-A-23-R-1,41-44</t>
    <phoneticPr fontId="15" type="noConversion"/>
  </si>
  <si>
    <t>1572-A-24-R-1, 31-34</t>
    <phoneticPr fontId="15" type="noConversion"/>
  </si>
  <si>
    <t>1572-A-25-R-2, 45-48</t>
    <phoneticPr fontId="15" type="noConversion"/>
  </si>
  <si>
    <t>1572-A-27-R-2, 12-15</t>
    <phoneticPr fontId="15" type="noConversion"/>
  </si>
  <si>
    <t>1572-A-31-R-3, 62-65</t>
    <phoneticPr fontId="15" type="noConversion"/>
  </si>
  <si>
    <t>1572-A-33-R-4, 4.5-8</t>
    <phoneticPr fontId="15" type="noConversion"/>
  </si>
  <si>
    <t>1572-A-35-R-3, 90-93</t>
    <phoneticPr fontId="15" type="noConversion"/>
  </si>
  <si>
    <t>1572-A-38-R-1, 67-70</t>
    <phoneticPr fontId="15" type="noConversion"/>
  </si>
  <si>
    <t>1572-A-39-R-2, 33.5-36.5</t>
    <phoneticPr fontId="15" type="noConversion"/>
  </si>
  <si>
    <t>1572-A-42-R-2, 68.5-71.5</t>
    <phoneticPr fontId="15" type="noConversion"/>
  </si>
  <si>
    <t>1572-A-44-R-2, 36.5-39.5</t>
    <phoneticPr fontId="15" type="noConversion"/>
  </si>
  <si>
    <t>1572-A-46-R-2, 57-60</t>
    <phoneticPr fontId="15" type="noConversion"/>
  </si>
  <si>
    <t>1572-B-30-X-2, 40-43</t>
    <phoneticPr fontId="15" type="noConversion"/>
  </si>
  <si>
    <t>1573-A-10-R-4, 95-98</t>
    <phoneticPr fontId="15" type="noConversion"/>
  </si>
  <si>
    <t>1573-A-12-R-1, 119-122</t>
    <phoneticPr fontId="15" type="noConversion"/>
  </si>
  <si>
    <t>1573-A-13-R-4, 51.5-54.5</t>
    <phoneticPr fontId="15" type="noConversion"/>
  </si>
  <si>
    <t>1573-A-15-R-1, 9.5-12.5</t>
    <phoneticPr fontId="15" type="noConversion"/>
  </si>
  <si>
    <t>1573-A-16-R-1, 16-19</t>
    <phoneticPr fontId="15" type="noConversion"/>
  </si>
  <si>
    <t>1573-A-18-R-2, 32-34</t>
    <phoneticPr fontId="15" type="noConversion"/>
  </si>
  <si>
    <t>1574-A-20-R-2, 119-122</t>
    <phoneticPr fontId="15" type="noConversion"/>
  </si>
  <si>
    <t>1574-A-22-R-2, 110-113</t>
    <phoneticPr fontId="15" type="noConversion"/>
  </si>
  <si>
    <t>1574-A-24-R-3, 110-113</t>
    <phoneticPr fontId="15" type="noConversion"/>
  </si>
  <si>
    <t>1574-A-28-R-1, 78-81</t>
    <phoneticPr fontId="15" type="noConversion"/>
  </si>
  <si>
    <t>1574-A-34-R-CC, 2.5-5.5</t>
    <phoneticPr fontId="15" type="noConversion"/>
  </si>
  <si>
    <t>1574-A-37-R-2, 52-55</t>
    <phoneticPr fontId="15" type="noConversion"/>
  </si>
  <si>
    <t>IOCAS, Qingdao</t>
  </si>
  <si>
    <t>U1565-A 004R 1W 11-16cm</t>
  </si>
  <si>
    <t>U1565-A 004R 2W 87-95cm</t>
  </si>
  <si>
    <t>U1566-A 030R 1W 64-70cm</t>
  </si>
  <si>
    <t>U1566-A 031R 1W 18-22cm</t>
  </si>
  <si>
    <t>U1566-A 032R 1W 57-61cm</t>
  </si>
  <si>
    <t>U1566-A 032R 1W 51-54cm</t>
  </si>
  <si>
    <t>U1566-A 032R 3W 72-78cm</t>
  </si>
  <si>
    <t>U1566-A 032R 3W 79-83cm</t>
  </si>
  <si>
    <t>U1566-A-032-R-3W 78-81 cm</t>
  </si>
  <si>
    <t xml:space="preserve">New and recently published data from our group </t>
  </si>
  <si>
    <t>Expert dataset: A whole rock geochemical dataset for magmatic rocks drilled on the mid-Norwegian margin</t>
  </si>
  <si>
    <t>Sites U1567, U1568, U1569, U1570 (volcanic ash)</t>
  </si>
  <si>
    <t>U1567A-7F-1, 70-75 cm</t>
  </si>
  <si>
    <t>U1567C-11X-3, 45-46 cm</t>
  </si>
  <si>
    <t>U1568A-11X-3, 10-14 cm</t>
  </si>
  <si>
    <t>U1568B-13X-2, 6-7 cm</t>
  </si>
  <si>
    <t>U1568A-14X-4, 99-100 cm</t>
  </si>
  <si>
    <t>U1567C-9X-CC, 38-40 cm</t>
  </si>
  <si>
    <t>U1567C-5X-2, 113-115 cm</t>
  </si>
  <si>
    <t>U1568B-9X-3, 19-21 cm</t>
  </si>
  <si>
    <t>U1569A-23R-2, 20-22 cm</t>
  </si>
  <si>
    <t>U1569A-28R-2, 74-76 cm</t>
  </si>
  <si>
    <t>U1569A-25R-1, 13-15 cm</t>
  </si>
  <si>
    <t>U1570D-7R-1, 106-109 cm</t>
  </si>
  <si>
    <t>U1570D-12R-2, 8-10 cm</t>
  </si>
  <si>
    <t>tephra</t>
  </si>
  <si>
    <t>volcanic glass</t>
  </si>
  <si>
    <t>Fusion ICP, Actlabs</t>
  </si>
  <si>
    <t>Agate, Oslo</t>
  </si>
  <si>
    <t>ICPMS, Actlabs</t>
  </si>
  <si>
    <t>&lt; 1</t>
  </si>
  <si>
    <t>&lt; 5</t>
  </si>
  <si>
    <t>U1567A</t>
  </si>
  <si>
    <t>U1567C</t>
  </si>
  <si>
    <t>U1568A</t>
  </si>
  <si>
    <t>U1568B</t>
  </si>
  <si>
    <t>U1569A</t>
  </si>
  <si>
    <t>U1570D</t>
  </si>
  <si>
    <t>volcaniclastic</t>
  </si>
  <si>
    <t>detailed III (mbsf)</t>
  </si>
  <si>
    <t>Unit</t>
  </si>
  <si>
    <t>wt%</t>
  </si>
  <si>
    <t>ppm</t>
  </si>
  <si>
    <t>decimal degree</t>
  </si>
  <si>
    <t xml:space="preserve">Published legacy data </t>
  </si>
  <si>
    <t>DOI</t>
  </si>
  <si>
    <t>https://doi.org/10.5880/digis.2025.011</t>
  </si>
  <si>
    <t>https://doi.org/10.1029/2023GC011413</t>
  </si>
  <si>
    <t>Tegner et al. (2025)</t>
  </si>
  <si>
    <t>https://doi.org/10.1002/ggge.20224</t>
  </si>
  <si>
    <t>https://doi.org/10.2973/odp.proc.sr.104.135.1989</t>
  </si>
  <si>
    <t>https://doi.org/10.1016/j.margeo.2009.02.007</t>
  </si>
  <si>
    <t>https://doi.org/10.2973/odp.proc.sr.104.134.1989</t>
  </si>
  <si>
    <t>https://doi.org/10.2973/dsdp.proc.38.110.1976</t>
  </si>
  <si>
    <t>https://doi.org/10.2973/dsdp.proc.38.113.1976</t>
  </si>
  <si>
    <t>https://doi.org/10.2973/dsdp.proc.38.114.1976</t>
  </si>
  <si>
    <t>by Tegner et al. (https://doi.org/10.5880/digis.e.2025.005)</t>
  </si>
  <si>
    <t xml:space="preserve">Citation: </t>
  </si>
  <si>
    <t>Tegner, Christian; Guo, Pengyuan; Chatterjee, Sayantani; Lambart, Sarah; Jones, Morgan T.; Planke, Sverre; Neumann, Else-Ragnhild; Svensen, Henrik H.; Lesher, Charles E.; Cashman, Katherine; Takahashi, Toshiro; Cunningham, Emily H.; Morris, Ashley M.; Stokke, Ella W.; Millet, John M.; Mohn, Geoffroy T. F.; Longman, Jack; Berndt, Christian; Alvarez Zarikian, Carlos A.; Betlem, Peter; Christopoulou, Marialena; Ferré, Eric C.; Filina, Irina; Frieling, Joost; Harper, Dustin T.; Scherer, Reed P.; Varela, Natalia; Xu, Weimu (2025): Expert dataset: A whole rock geochemical dataset for magmatic rocks drilled on the mid-Norwegian margin. GFZ Data Services. https://doi.org/10.5880/digis.e.2025.005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</si>
</sst>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0.00_ "/>
    <numFmt numFmtId="167" formatCode="0.0_ "/>
    <numFmt numFmtId="168" formatCode="0.00_);[Red]\(0.00\)"/>
    <numFmt numFmtId="169" formatCode=".00"/>
  </numFmts>
  <fonts count="22">
    <font>
      <sz val="12"/>
      <color theme="1"/>
      <name val="Aptos Narrow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0070C0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color rgb="FF151617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232323"/>
      <name val="Times New Roman"/>
      <family val="1"/>
    </font>
    <font>
      <b/>
      <sz val="12"/>
      <color rgb="FF232323"/>
      <name val="Times New Roman"/>
      <family val="1"/>
    </font>
    <font>
      <sz val="12"/>
      <color indexed="8"/>
      <name val="Times New Roman"/>
      <family val="1"/>
    </font>
    <font>
      <b/>
      <sz val="12"/>
      <color theme="9"/>
      <name val="Times New Roman"/>
      <family val="1"/>
    </font>
    <font>
      <b/>
      <sz val="12"/>
      <color rgb="FF4EA72E"/>
      <name val="Times New Roman"/>
      <family val="1"/>
    </font>
    <font>
      <sz val="12"/>
      <color theme="1"/>
      <name val="Aptos Narrow"/>
      <family val="2"/>
      <scheme val="minor"/>
    </font>
    <font>
      <sz val="9"/>
      <name val="Aptos Narrow"/>
      <family val="3"/>
      <charset val="134"/>
      <scheme val="minor"/>
    </font>
    <font>
      <b/>
      <sz val="24"/>
      <color rgb="FF3763AF"/>
      <name val="Times New Roman"/>
      <family val="1"/>
    </font>
    <font>
      <b/>
      <sz val="16"/>
      <color rgb="FFFF0000"/>
      <name val="Times New Roman"/>
      <family val="1"/>
    </font>
    <font>
      <u/>
      <sz val="12"/>
      <color theme="10"/>
      <name val="Aptos Narrow"/>
      <family val="2"/>
      <scheme val="minor"/>
    </font>
    <font>
      <b/>
      <sz val="20"/>
      <color rgb="FF3763AF"/>
      <name val="Times New Roman"/>
      <family val="1"/>
    </font>
    <font>
      <sz val="16"/>
      <color rgb="FF3763A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2" fontId="2" fillId="0" borderId="0" xfId="0" applyNumberFormat="1" applyFont="1" applyAlignment="1">
      <alignment horizontal="right" wrapText="1"/>
    </xf>
    <xf numFmtId="2" fontId="2" fillId="0" borderId="0" xfId="0" applyNumberFormat="1" applyFont="1"/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horizontal="right"/>
    </xf>
    <xf numFmtId="1" fontId="2" fillId="0" borderId="0" xfId="0" applyNumberFormat="1" applyFont="1"/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indent="1"/>
    </xf>
    <xf numFmtId="2" fontId="2" fillId="0" borderId="0" xfId="0" applyNumberFormat="1" applyFont="1" applyAlignment="1">
      <alignment horizontal="right" wrapText="1" indent="1"/>
    </xf>
    <xf numFmtId="2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right" indent="1"/>
    </xf>
    <xf numFmtId="2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6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65" fontId="2" fillId="0" borderId="0" xfId="0" applyNumberFormat="1" applyFont="1"/>
    <xf numFmtId="0" fontId="8" fillId="0" borderId="0" xfId="0" applyFont="1" applyAlignment="1">
      <alignment vertical="center"/>
    </xf>
    <xf numFmtId="15" fontId="2" fillId="0" borderId="0" xfId="0" applyNumberFormat="1" applyFont="1"/>
    <xf numFmtId="0" fontId="11" fillId="0" borderId="0" xfId="0" applyFont="1"/>
    <xf numFmtId="0" fontId="10" fillId="0" borderId="0" xfId="0" applyFont="1"/>
    <xf numFmtId="2" fontId="10" fillId="0" borderId="0" xfId="0" applyNumberFormat="1" applyFont="1" applyAlignment="1">
      <alignment horizontal="right"/>
    </xf>
    <xf numFmtId="2" fontId="10" fillId="0" borderId="0" xfId="0" applyNumberFormat="1" applyFont="1"/>
    <xf numFmtId="1" fontId="2" fillId="0" borderId="0" xfId="0" applyNumberFormat="1" applyFont="1" applyAlignment="1">
      <alignment horizontal="right"/>
    </xf>
    <xf numFmtId="0" fontId="2" fillId="2" borderId="0" xfId="0" applyFont="1" applyFill="1"/>
    <xf numFmtId="165" fontId="2" fillId="2" borderId="0" xfId="0" applyNumberFormat="1" applyFont="1" applyFill="1"/>
    <xf numFmtId="165" fontId="2" fillId="2" borderId="0" xfId="0" applyNumberFormat="1" applyFont="1" applyFill="1" applyAlignment="1">
      <alignment horizontal="left" vertical="center"/>
    </xf>
    <xf numFmtId="2" fontId="2" fillId="2" borderId="0" xfId="0" applyNumberFormat="1" applyFont="1" applyFill="1" applyAlignment="1">
      <alignment horizontal="left" vertical="center"/>
    </xf>
    <xf numFmtId="0" fontId="12" fillId="0" borderId="0" xfId="0" applyFont="1"/>
    <xf numFmtId="2" fontId="12" fillId="0" borderId="0" xfId="0" applyNumberFormat="1" applyFont="1"/>
    <xf numFmtId="1" fontId="12" fillId="0" borderId="0" xfId="0" applyNumberFormat="1" applyFont="1"/>
    <xf numFmtId="164" fontId="12" fillId="0" borderId="0" xfId="0" applyNumberFormat="1" applyFont="1"/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1" fillId="0" borderId="0" xfId="0" applyNumberFormat="1" applyFont="1"/>
    <xf numFmtId="0" fontId="8" fillId="0" borderId="0" xfId="0" applyFont="1"/>
    <xf numFmtId="0" fontId="4" fillId="0" borderId="0" xfId="0" applyFont="1"/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/>
    <xf numFmtId="2" fontId="11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169" fontId="2" fillId="0" borderId="0" xfId="0" applyNumberFormat="1" applyFont="1" applyAlignment="1">
      <alignment horizontal="right"/>
    </xf>
    <xf numFmtId="2" fontId="8" fillId="0" borderId="0" xfId="0" applyNumberFormat="1" applyFont="1"/>
    <xf numFmtId="165" fontId="2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19" fillId="0" borderId="0" xfId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i.org/10.2973/odp.proc.sr.104.134.1989" TargetMode="External"/><Relationship Id="rId21" Type="http://schemas.openxmlformats.org/officeDocument/2006/relationships/hyperlink" Target="https://doi.org/10.2973/odp.proc.sr.104.135.1989" TargetMode="External"/><Relationship Id="rId42" Type="http://schemas.openxmlformats.org/officeDocument/2006/relationships/hyperlink" Target="https://doi.org/10.2973/odp.proc.sr.104.135.1989" TargetMode="External"/><Relationship Id="rId63" Type="http://schemas.openxmlformats.org/officeDocument/2006/relationships/hyperlink" Target="https://doi.org/10.1016/j.margeo.2009.02.007" TargetMode="External"/><Relationship Id="rId84" Type="http://schemas.openxmlformats.org/officeDocument/2006/relationships/hyperlink" Target="https://doi.org/10.1016/j.margeo.2009.02.007" TargetMode="External"/><Relationship Id="rId138" Type="http://schemas.openxmlformats.org/officeDocument/2006/relationships/hyperlink" Target="https://doi.org/10.2973/dsdp.proc.38.113.1976" TargetMode="External"/><Relationship Id="rId107" Type="http://schemas.openxmlformats.org/officeDocument/2006/relationships/hyperlink" Target="https://doi.org/10.1016/j.margeo.2009.02.007" TargetMode="External"/><Relationship Id="rId11" Type="http://schemas.openxmlformats.org/officeDocument/2006/relationships/hyperlink" Target="https://doi.org/10.5880/digis.2025.011" TargetMode="External"/><Relationship Id="rId32" Type="http://schemas.openxmlformats.org/officeDocument/2006/relationships/hyperlink" Target="https://doi.org/10.2973/odp.proc.sr.104.135.1989" TargetMode="External"/><Relationship Id="rId53" Type="http://schemas.openxmlformats.org/officeDocument/2006/relationships/hyperlink" Target="https://doi.org/10.2973/odp.proc.sr.104.135.1989" TargetMode="External"/><Relationship Id="rId74" Type="http://schemas.openxmlformats.org/officeDocument/2006/relationships/hyperlink" Target="https://doi.org/10.1016/j.margeo.2009.02.007" TargetMode="External"/><Relationship Id="rId128" Type="http://schemas.openxmlformats.org/officeDocument/2006/relationships/hyperlink" Target="https://doi.org/10.2973/dsdp.proc.38.110.1976" TargetMode="External"/><Relationship Id="rId5" Type="http://schemas.openxmlformats.org/officeDocument/2006/relationships/hyperlink" Target="https://doi.org/10.5880/digis.2025.011" TargetMode="External"/><Relationship Id="rId90" Type="http://schemas.openxmlformats.org/officeDocument/2006/relationships/hyperlink" Target="https://doi.org/10.1016/j.margeo.2009.02.007" TargetMode="External"/><Relationship Id="rId95" Type="http://schemas.openxmlformats.org/officeDocument/2006/relationships/hyperlink" Target="https://doi.org/10.1016/j.margeo.2009.02.007" TargetMode="External"/><Relationship Id="rId22" Type="http://schemas.openxmlformats.org/officeDocument/2006/relationships/hyperlink" Target="https://doi.org/10.2973/odp.proc.sr.104.135.1989" TargetMode="External"/><Relationship Id="rId27" Type="http://schemas.openxmlformats.org/officeDocument/2006/relationships/hyperlink" Target="https://doi.org/10.2973/odp.proc.sr.104.135.1989" TargetMode="External"/><Relationship Id="rId43" Type="http://schemas.openxmlformats.org/officeDocument/2006/relationships/hyperlink" Target="https://doi.org/10.2973/odp.proc.sr.104.135.1989" TargetMode="External"/><Relationship Id="rId48" Type="http://schemas.openxmlformats.org/officeDocument/2006/relationships/hyperlink" Target="https://doi.org/10.2973/odp.proc.sr.104.135.1989" TargetMode="External"/><Relationship Id="rId64" Type="http://schemas.openxmlformats.org/officeDocument/2006/relationships/hyperlink" Target="https://doi.org/10.1016/j.margeo.2009.02.007" TargetMode="External"/><Relationship Id="rId69" Type="http://schemas.openxmlformats.org/officeDocument/2006/relationships/hyperlink" Target="https://doi.org/10.1016/j.margeo.2009.02.007" TargetMode="External"/><Relationship Id="rId113" Type="http://schemas.openxmlformats.org/officeDocument/2006/relationships/hyperlink" Target="https://doi.org/10.2973/odp.proc.sr.104.134.1989" TargetMode="External"/><Relationship Id="rId118" Type="http://schemas.openxmlformats.org/officeDocument/2006/relationships/hyperlink" Target="https://doi.org/10.2973/odp.proc.sr.104.134.1989" TargetMode="External"/><Relationship Id="rId134" Type="http://schemas.openxmlformats.org/officeDocument/2006/relationships/hyperlink" Target="https://doi.org/10.2973/dsdp.proc.38.113.1976" TargetMode="External"/><Relationship Id="rId139" Type="http://schemas.openxmlformats.org/officeDocument/2006/relationships/hyperlink" Target="https://doi.org/10.2973/dsdp.proc.38.114.1976" TargetMode="External"/><Relationship Id="rId80" Type="http://schemas.openxmlformats.org/officeDocument/2006/relationships/hyperlink" Target="https://doi.org/10.1016/j.margeo.2009.02.007" TargetMode="External"/><Relationship Id="rId85" Type="http://schemas.openxmlformats.org/officeDocument/2006/relationships/hyperlink" Target="https://doi.org/10.1016/j.margeo.2009.02.007" TargetMode="External"/><Relationship Id="rId12" Type="http://schemas.openxmlformats.org/officeDocument/2006/relationships/hyperlink" Target="https://doi.org/10.5880/digis.2025.011" TargetMode="External"/><Relationship Id="rId17" Type="http://schemas.openxmlformats.org/officeDocument/2006/relationships/hyperlink" Target="https://doi.org/10.1002/ggge.20224" TargetMode="External"/><Relationship Id="rId33" Type="http://schemas.openxmlformats.org/officeDocument/2006/relationships/hyperlink" Target="https://doi.org/10.2973/odp.proc.sr.104.135.1989" TargetMode="External"/><Relationship Id="rId38" Type="http://schemas.openxmlformats.org/officeDocument/2006/relationships/hyperlink" Target="https://doi.org/10.2973/odp.proc.sr.104.135.1989" TargetMode="External"/><Relationship Id="rId59" Type="http://schemas.openxmlformats.org/officeDocument/2006/relationships/hyperlink" Target="https://doi.org/10.1016/j.margeo.2009.02.007" TargetMode="External"/><Relationship Id="rId103" Type="http://schemas.openxmlformats.org/officeDocument/2006/relationships/hyperlink" Target="https://doi.org/10.1016/j.margeo.2009.02.007" TargetMode="External"/><Relationship Id="rId108" Type="http://schemas.openxmlformats.org/officeDocument/2006/relationships/hyperlink" Target="https://doi.org/10.2973/odp.proc.sr.104.134.1989" TargetMode="External"/><Relationship Id="rId124" Type="http://schemas.openxmlformats.org/officeDocument/2006/relationships/hyperlink" Target="https://doi.org/10.2973/dsdp.proc.38.110.1976" TargetMode="External"/><Relationship Id="rId129" Type="http://schemas.openxmlformats.org/officeDocument/2006/relationships/hyperlink" Target="https://doi.org/10.2973/dsdp.proc.38.110.1976" TargetMode="External"/><Relationship Id="rId54" Type="http://schemas.openxmlformats.org/officeDocument/2006/relationships/hyperlink" Target="https://doi.org/10.2973/odp.proc.sr.104.135.1989" TargetMode="External"/><Relationship Id="rId70" Type="http://schemas.openxmlformats.org/officeDocument/2006/relationships/hyperlink" Target="https://doi.org/10.1016/j.margeo.2009.02.007" TargetMode="External"/><Relationship Id="rId75" Type="http://schemas.openxmlformats.org/officeDocument/2006/relationships/hyperlink" Target="https://doi.org/10.1016/j.margeo.2009.02.007" TargetMode="External"/><Relationship Id="rId91" Type="http://schemas.openxmlformats.org/officeDocument/2006/relationships/hyperlink" Target="https://doi.org/10.1016/j.margeo.2009.02.007" TargetMode="External"/><Relationship Id="rId96" Type="http://schemas.openxmlformats.org/officeDocument/2006/relationships/hyperlink" Target="https://doi.org/10.1016/j.margeo.2009.02.007" TargetMode="External"/><Relationship Id="rId140" Type="http://schemas.openxmlformats.org/officeDocument/2006/relationships/hyperlink" Target="https://doi.org/10.2973/dsdp.proc.38.114.1976" TargetMode="External"/><Relationship Id="rId145" Type="http://schemas.openxmlformats.org/officeDocument/2006/relationships/hyperlink" Target="https://doi.org/10.2973/dsdp.proc.38.114.1976" TargetMode="External"/><Relationship Id="rId1" Type="http://schemas.openxmlformats.org/officeDocument/2006/relationships/hyperlink" Target="https://doi.org/10.5880/digis.2025.011" TargetMode="External"/><Relationship Id="rId6" Type="http://schemas.openxmlformats.org/officeDocument/2006/relationships/hyperlink" Target="https://doi.org/10.5880/digis.2025.011" TargetMode="External"/><Relationship Id="rId23" Type="http://schemas.openxmlformats.org/officeDocument/2006/relationships/hyperlink" Target="https://doi.org/10.2973/odp.proc.sr.104.135.1989" TargetMode="External"/><Relationship Id="rId28" Type="http://schemas.openxmlformats.org/officeDocument/2006/relationships/hyperlink" Target="https://doi.org/10.2973/odp.proc.sr.104.135.1989" TargetMode="External"/><Relationship Id="rId49" Type="http://schemas.openxmlformats.org/officeDocument/2006/relationships/hyperlink" Target="https://doi.org/10.2973/odp.proc.sr.104.135.1989" TargetMode="External"/><Relationship Id="rId114" Type="http://schemas.openxmlformats.org/officeDocument/2006/relationships/hyperlink" Target="https://doi.org/10.2973/odp.proc.sr.104.134.1989" TargetMode="External"/><Relationship Id="rId119" Type="http://schemas.openxmlformats.org/officeDocument/2006/relationships/hyperlink" Target="https://doi.org/10.2973/odp.proc.sr.104.134.1989" TargetMode="External"/><Relationship Id="rId44" Type="http://schemas.openxmlformats.org/officeDocument/2006/relationships/hyperlink" Target="https://doi.org/10.2973/odp.proc.sr.104.135.1989" TargetMode="External"/><Relationship Id="rId60" Type="http://schemas.openxmlformats.org/officeDocument/2006/relationships/hyperlink" Target="https://doi.org/10.1016/j.margeo.2009.02.007" TargetMode="External"/><Relationship Id="rId65" Type="http://schemas.openxmlformats.org/officeDocument/2006/relationships/hyperlink" Target="https://doi.org/10.1016/j.margeo.2009.02.007" TargetMode="External"/><Relationship Id="rId81" Type="http://schemas.openxmlformats.org/officeDocument/2006/relationships/hyperlink" Target="https://doi.org/10.1016/j.margeo.2009.02.007" TargetMode="External"/><Relationship Id="rId86" Type="http://schemas.openxmlformats.org/officeDocument/2006/relationships/hyperlink" Target="https://doi.org/10.1016/j.margeo.2009.02.007" TargetMode="External"/><Relationship Id="rId130" Type="http://schemas.openxmlformats.org/officeDocument/2006/relationships/hyperlink" Target="https://doi.org/10.2973/dsdp.proc.38.110.1976" TargetMode="External"/><Relationship Id="rId135" Type="http://schemas.openxmlformats.org/officeDocument/2006/relationships/hyperlink" Target="https://doi.org/10.2973/dsdp.proc.38.113.1976" TargetMode="External"/><Relationship Id="rId13" Type="http://schemas.openxmlformats.org/officeDocument/2006/relationships/hyperlink" Target="https://doi.org/10.5880/digis.2025.011" TargetMode="External"/><Relationship Id="rId18" Type="http://schemas.openxmlformats.org/officeDocument/2006/relationships/hyperlink" Target="https://doi.org/10.2973/odp.proc.sr.104.135.1989" TargetMode="External"/><Relationship Id="rId39" Type="http://schemas.openxmlformats.org/officeDocument/2006/relationships/hyperlink" Target="https://doi.org/10.2973/odp.proc.sr.104.135.1989" TargetMode="External"/><Relationship Id="rId109" Type="http://schemas.openxmlformats.org/officeDocument/2006/relationships/hyperlink" Target="https://doi.org/10.2973/odp.proc.sr.104.134.1989" TargetMode="External"/><Relationship Id="rId34" Type="http://schemas.openxmlformats.org/officeDocument/2006/relationships/hyperlink" Target="https://doi.org/10.2973/odp.proc.sr.104.135.1989" TargetMode="External"/><Relationship Id="rId50" Type="http://schemas.openxmlformats.org/officeDocument/2006/relationships/hyperlink" Target="https://doi.org/10.2973/odp.proc.sr.104.135.1989" TargetMode="External"/><Relationship Id="rId55" Type="http://schemas.openxmlformats.org/officeDocument/2006/relationships/hyperlink" Target="https://doi.org/10.2973/odp.proc.sr.104.135.1989" TargetMode="External"/><Relationship Id="rId76" Type="http://schemas.openxmlformats.org/officeDocument/2006/relationships/hyperlink" Target="https://doi.org/10.1016/j.margeo.2009.02.007" TargetMode="External"/><Relationship Id="rId97" Type="http://schemas.openxmlformats.org/officeDocument/2006/relationships/hyperlink" Target="https://doi.org/10.1016/j.margeo.2009.02.007" TargetMode="External"/><Relationship Id="rId104" Type="http://schemas.openxmlformats.org/officeDocument/2006/relationships/hyperlink" Target="https://doi.org/10.1016/j.margeo.2009.02.007" TargetMode="External"/><Relationship Id="rId120" Type="http://schemas.openxmlformats.org/officeDocument/2006/relationships/hyperlink" Target="https://doi.org/10.2973/odp.proc.sr.104.134.1989" TargetMode="External"/><Relationship Id="rId125" Type="http://schemas.openxmlformats.org/officeDocument/2006/relationships/hyperlink" Target="https://doi.org/10.2973/dsdp.proc.38.110.1976" TargetMode="External"/><Relationship Id="rId141" Type="http://schemas.openxmlformats.org/officeDocument/2006/relationships/hyperlink" Target="https://doi.org/10.2973/dsdp.proc.38.114.1976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s://doi.org/10.5880/digis.2025.011" TargetMode="External"/><Relationship Id="rId71" Type="http://schemas.openxmlformats.org/officeDocument/2006/relationships/hyperlink" Target="https://doi.org/10.1016/j.margeo.2009.02.007" TargetMode="External"/><Relationship Id="rId92" Type="http://schemas.openxmlformats.org/officeDocument/2006/relationships/hyperlink" Target="https://doi.org/10.1016/j.margeo.2009.02.007" TargetMode="External"/><Relationship Id="rId2" Type="http://schemas.openxmlformats.org/officeDocument/2006/relationships/hyperlink" Target="https://doi.org/10.5880/digis.2025.011" TargetMode="External"/><Relationship Id="rId29" Type="http://schemas.openxmlformats.org/officeDocument/2006/relationships/hyperlink" Target="https://doi.org/10.2973/odp.proc.sr.104.135.1989" TargetMode="External"/><Relationship Id="rId24" Type="http://schemas.openxmlformats.org/officeDocument/2006/relationships/hyperlink" Target="https://doi.org/10.2973/odp.proc.sr.104.135.1989" TargetMode="External"/><Relationship Id="rId40" Type="http://schemas.openxmlformats.org/officeDocument/2006/relationships/hyperlink" Target="https://doi.org/10.2973/odp.proc.sr.104.135.1989" TargetMode="External"/><Relationship Id="rId45" Type="http://schemas.openxmlformats.org/officeDocument/2006/relationships/hyperlink" Target="https://doi.org/10.2973/odp.proc.sr.104.135.1989" TargetMode="External"/><Relationship Id="rId66" Type="http://schemas.openxmlformats.org/officeDocument/2006/relationships/hyperlink" Target="https://doi.org/10.1016/j.margeo.2009.02.007" TargetMode="External"/><Relationship Id="rId87" Type="http://schemas.openxmlformats.org/officeDocument/2006/relationships/hyperlink" Target="https://doi.org/10.1016/j.margeo.2009.02.007" TargetMode="External"/><Relationship Id="rId110" Type="http://schemas.openxmlformats.org/officeDocument/2006/relationships/hyperlink" Target="https://doi.org/10.2973/odp.proc.sr.104.134.1989" TargetMode="External"/><Relationship Id="rId115" Type="http://schemas.openxmlformats.org/officeDocument/2006/relationships/hyperlink" Target="https://doi.org/10.2973/odp.proc.sr.104.134.1989" TargetMode="External"/><Relationship Id="rId131" Type="http://schemas.openxmlformats.org/officeDocument/2006/relationships/hyperlink" Target="https://doi.org/10.2973/dsdp.proc.38.110.1976" TargetMode="External"/><Relationship Id="rId136" Type="http://schemas.openxmlformats.org/officeDocument/2006/relationships/hyperlink" Target="https://doi.org/10.2973/dsdp.proc.38.113.1976" TargetMode="External"/><Relationship Id="rId61" Type="http://schemas.openxmlformats.org/officeDocument/2006/relationships/hyperlink" Target="https://doi.org/10.1016/j.margeo.2009.02.007" TargetMode="External"/><Relationship Id="rId82" Type="http://schemas.openxmlformats.org/officeDocument/2006/relationships/hyperlink" Target="https://doi.org/10.1016/j.margeo.2009.02.007" TargetMode="External"/><Relationship Id="rId19" Type="http://schemas.openxmlformats.org/officeDocument/2006/relationships/hyperlink" Target="https://doi.org/10.2973/odp.proc.sr.104.135.1989" TargetMode="External"/><Relationship Id="rId14" Type="http://schemas.openxmlformats.org/officeDocument/2006/relationships/hyperlink" Target="https://doi.org/10.5880/digis.2025.011" TargetMode="External"/><Relationship Id="rId30" Type="http://schemas.openxmlformats.org/officeDocument/2006/relationships/hyperlink" Target="https://doi.org/10.2973/odp.proc.sr.104.135.1989" TargetMode="External"/><Relationship Id="rId35" Type="http://schemas.openxmlformats.org/officeDocument/2006/relationships/hyperlink" Target="https://doi.org/10.2973/odp.proc.sr.104.135.1989" TargetMode="External"/><Relationship Id="rId56" Type="http://schemas.openxmlformats.org/officeDocument/2006/relationships/hyperlink" Target="https://doi.org/10.2973/odp.proc.sr.104.135.1989" TargetMode="External"/><Relationship Id="rId77" Type="http://schemas.openxmlformats.org/officeDocument/2006/relationships/hyperlink" Target="https://doi.org/10.1016/j.margeo.2009.02.007" TargetMode="External"/><Relationship Id="rId100" Type="http://schemas.openxmlformats.org/officeDocument/2006/relationships/hyperlink" Target="https://doi.org/10.1016/j.margeo.2009.02.007" TargetMode="External"/><Relationship Id="rId105" Type="http://schemas.openxmlformats.org/officeDocument/2006/relationships/hyperlink" Target="https://doi.org/10.1016/j.margeo.2009.02.007" TargetMode="External"/><Relationship Id="rId126" Type="http://schemas.openxmlformats.org/officeDocument/2006/relationships/hyperlink" Target="https://doi.org/10.2973/dsdp.proc.38.110.1976" TargetMode="External"/><Relationship Id="rId8" Type="http://schemas.openxmlformats.org/officeDocument/2006/relationships/hyperlink" Target="https://doi.org/10.1029/2023GC011413" TargetMode="External"/><Relationship Id="rId51" Type="http://schemas.openxmlformats.org/officeDocument/2006/relationships/hyperlink" Target="https://doi.org/10.2973/odp.proc.sr.104.135.1989" TargetMode="External"/><Relationship Id="rId72" Type="http://schemas.openxmlformats.org/officeDocument/2006/relationships/hyperlink" Target="https://doi.org/10.1016/j.margeo.2009.02.007" TargetMode="External"/><Relationship Id="rId93" Type="http://schemas.openxmlformats.org/officeDocument/2006/relationships/hyperlink" Target="https://doi.org/10.1016/j.margeo.2009.02.007" TargetMode="External"/><Relationship Id="rId98" Type="http://schemas.openxmlformats.org/officeDocument/2006/relationships/hyperlink" Target="https://doi.org/10.1016/j.margeo.2009.02.007" TargetMode="External"/><Relationship Id="rId121" Type="http://schemas.openxmlformats.org/officeDocument/2006/relationships/hyperlink" Target="https://doi.org/10.2973/odp.proc.sr.104.134.1989" TargetMode="External"/><Relationship Id="rId142" Type="http://schemas.openxmlformats.org/officeDocument/2006/relationships/hyperlink" Target="https://doi.org/10.2973/dsdp.proc.38.114.1976" TargetMode="External"/><Relationship Id="rId3" Type="http://schemas.openxmlformats.org/officeDocument/2006/relationships/hyperlink" Target="https://doi.org/10.5880/digis.2025.011" TargetMode="External"/><Relationship Id="rId25" Type="http://schemas.openxmlformats.org/officeDocument/2006/relationships/hyperlink" Target="https://doi.org/10.2973/odp.proc.sr.104.135.1989" TargetMode="External"/><Relationship Id="rId46" Type="http://schemas.openxmlformats.org/officeDocument/2006/relationships/hyperlink" Target="https://doi.org/10.2973/odp.proc.sr.104.135.1989" TargetMode="External"/><Relationship Id="rId67" Type="http://schemas.openxmlformats.org/officeDocument/2006/relationships/hyperlink" Target="https://doi.org/10.1016/j.margeo.2009.02.007" TargetMode="External"/><Relationship Id="rId116" Type="http://schemas.openxmlformats.org/officeDocument/2006/relationships/hyperlink" Target="https://doi.org/10.2973/odp.proc.sr.104.134.1989" TargetMode="External"/><Relationship Id="rId137" Type="http://schemas.openxmlformats.org/officeDocument/2006/relationships/hyperlink" Target="https://doi.org/10.2973/dsdp.proc.38.113.1976" TargetMode="External"/><Relationship Id="rId20" Type="http://schemas.openxmlformats.org/officeDocument/2006/relationships/hyperlink" Target="https://doi.org/10.2973/odp.proc.sr.104.135.1989" TargetMode="External"/><Relationship Id="rId41" Type="http://schemas.openxmlformats.org/officeDocument/2006/relationships/hyperlink" Target="https://doi.org/10.2973/odp.proc.sr.104.135.1989" TargetMode="External"/><Relationship Id="rId62" Type="http://schemas.openxmlformats.org/officeDocument/2006/relationships/hyperlink" Target="https://doi.org/10.1016/j.margeo.2009.02.007" TargetMode="External"/><Relationship Id="rId83" Type="http://schemas.openxmlformats.org/officeDocument/2006/relationships/hyperlink" Target="https://doi.org/10.1016/j.margeo.2009.02.007" TargetMode="External"/><Relationship Id="rId88" Type="http://schemas.openxmlformats.org/officeDocument/2006/relationships/hyperlink" Target="https://doi.org/10.1016/j.margeo.2009.02.007" TargetMode="External"/><Relationship Id="rId111" Type="http://schemas.openxmlformats.org/officeDocument/2006/relationships/hyperlink" Target="https://doi.org/10.2973/odp.proc.sr.104.134.1989" TargetMode="External"/><Relationship Id="rId132" Type="http://schemas.openxmlformats.org/officeDocument/2006/relationships/hyperlink" Target="https://doi.org/10.2973/dsdp.proc.38.113.1976" TargetMode="External"/><Relationship Id="rId15" Type="http://schemas.openxmlformats.org/officeDocument/2006/relationships/hyperlink" Target="https://doi.org/10.5880/digis.2025.011" TargetMode="External"/><Relationship Id="rId36" Type="http://schemas.openxmlformats.org/officeDocument/2006/relationships/hyperlink" Target="https://doi.org/10.2973/odp.proc.sr.104.135.1989" TargetMode="External"/><Relationship Id="rId57" Type="http://schemas.openxmlformats.org/officeDocument/2006/relationships/hyperlink" Target="https://doi.org/10.2973/odp.proc.sr.104.135.1989" TargetMode="External"/><Relationship Id="rId106" Type="http://schemas.openxmlformats.org/officeDocument/2006/relationships/hyperlink" Target="https://doi.org/10.1016/j.margeo.2009.02.007" TargetMode="External"/><Relationship Id="rId127" Type="http://schemas.openxmlformats.org/officeDocument/2006/relationships/hyperlink" Target="https://doi.org/10.2973/dsdp.proc.38.110.1976" TargetMode="External"/><Relationship Id="rId10" Type="http://schemas.openxmlformats.org/officeDocument/2006/relationships/hyperlink" Target="https://doi.org/10.5880/digis.2025.011" TargetMode="External"/><Relationship Id="rId31" Type="http://schemas.openxmlformats.org/officeDocument/2006/relationships/hyperlink" Target="https://doi.org/10.2973/odp.proc.sr.104.135.1989" TargetMode="External"/><Relationship Id="rId52" Type="http://schemas.openxmlformats.org/officeDocument/2006/relationships/hyperlink" Target="https://doi.org/10.2973/odp.proc.sr.104.135.1989" TargetMode="External"/><Relationship Id="rId73" Type="http://schemas.openxmlformats.org/officeDocument/2006/relationships/hyperlink" Target="https://doi.org/10.1016/j.margeo.2009.02.007" TargetMode="External"/><Relationship Id="rId78" Type="http://schemas.openxmlformats.org/officeDocument/2006/relationships/hyperlink" Target="https://doi.org/10.1016/j.margeo.2009.02.007" TargetMode="External"/><Relationship Id="rId94" Type="http://schemas.openxmlformats.org/officeDocument/2006/relationships/hyperlink" Target="https://doi.org/10.1016/j.margeo.2009.02.007" TargetMode="External"/><Relationship Id="rId99" Type="http://schemas.openxmlformats.org/officeDocument/2006/relationships/hyperlink" Target="https://doi.org/10.1016/j.margeo.2009.02.007" TargetMode="External"/><Relationship Id="rId101" Type="http://schemas.openxmlformats.org/officeDocument/2006/relationships/hyperlink" Target="https://doi.org/10.1016/j.margeo.2009.02.007" TargetMode="External"/><Relationship Id="rId122" Type="http://schemas.openxmlformats.org/officeDocument/2006/relationships/hyperlink" Target="https://doi.org/10.2973/dsdp.proc.38.110.1976" TargetMode="External"/><Relationship Id="rId143" Type="http://schemas.openxmlformats.org/officeDocument/2006/relationships/hyperlink" Target="https://doi.org/10.2973/dsdp.proc.38.114.1976" TargetMode="External"/><Relationship Id="rId4" Type="http://schemas.openxmlformats.org/officeDocument/2006/relationships/hyperlink" Target="https://doi.org/10.5880/digis.2025.011" TargetMode="External"/><Relationship Id="rId9" Type="http://schemas.openxmlformats.org/officeDocument/2006/relationships/hyperlink" Target="https://doi.org/10.1029/2023GC011413" TargetMode="External"/><Relationship Id="rId26" Type="http://schemas.openxmlformats.org/officeDocument/2006/relationships/hyperlink" Target="https://doi.org/10.2973/odp.proc.sr.104.135.1989" TargetMode="External"/><Relationship Id="rId47" Type="http://schemas.openxmlformats.org/officeDocument/2006/relationships/hyperlink" Target="https://doi.org/10.2973/odp.proc.sr.104.135.1989" TargetMode="External"/><Relationship Id="rId68" Type="http://schemas.openxmlformats.org/officeDocument/2006/relationships/hyperlink" Target="https://doi.org/10.1016/j.margeo.2009.02.007" TargetMode="External"/><Relationship Id="rId89" Type="http://schemas.openxmlformats.org/officeDocument/2006/relationships/hyperlink" Target="https://doi.org/10.1016/j.margeo.2009.02.007" TargetMode="External"/><Relationship Id="rId112" Type="http://schemas.openxmlformats.org/officeDocument/2006/relationships/hyperlink" Target="https://doi.org/10.2973/odp.proc.sr.104.134.1989" TargetMode="External"/><Relationship Id="rId133" Type="http://schemas.openxmlformats.org/officeDocument/2006/relationships/hyperlink" Target="https://doi.org/10.2973/dsdp.proc.38.113.1976" TargetMode="External"/><Relationship Id="rId16" Type="http://schemas.openxmlformats.org/officeDocument/2006/relationships/hyperlink" Target="https://doi.org/10.1002/ggge.20224" TargetMode="External"/><Relationship Id="rId37" Type="http://schemas.openxmlformats.org/officeDocument/2006/relationships/hyperlink" Target="https://doi.org/10.2973/odp.proc.sr.104.135.1989" TargetMode="External"/><Relationship Id="rId58" Type="http://schemas.openxmlformats.org/officeDocument/2006/relationships/hyperlink" Target="https://doi.org/10.1016/j.margeo.2009.02.007" TargetMode="External"/><Relationship Id="rId79" Type="http://schemas.openxmlformats.org/officeDocument/2006/relationships/hyperlink" Target="https://doi.org/10.1016/j.margeo.2009.02.007" TargetMode="External"/><Relationship Id="rId102" Type="http://schemas.openxmlformats.org/officeDocument/2006/relationships/hyperlink" Target="https://doi.org/10.1016/j.margeo.2009.02.007" TargetMode="External"/><Relationship Id="rId123" Type="http://schemas.openxmlformats.org/officeDocument/2006/relationships/hyperlink" Target="https://doi.org/10.2973/dsdp.proc.38.110.1976" TargetMode="External"/><Relationship Id="rId144" Type="http://schemas.openxmlformats.org/officeDocument/2006/relationships/hyperlink" Target="https://doi.org/10.2973/dsdp.proc.38.114.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881B-CF25-1D4C-BF91-5ECA3128D4E8}">
  <sheetPr codeName="Sheet1"/>
  <dimension ref="A2:KP805"/>
  <sheetViews>
    <sheetView tabSelected="1" topLeftCell="A3" workbookViewId="0">
      <pane xSplit="12300" ySplit="2100" topLeftCell="K6" activePane="bottomRight"/>
      <selection activeCell="A5" sqref="A5"/>
      <selection pane="topRight" activeCell="N1" sqref="N1"/>
      <selection pane="bottomLeft" activeCell="A5" sqref="A5:J5"/>
      <selection pane="bottomRight" activeCell="K8" sqref="K8"/>
    </sheetView>
  </sheetViews>
  <sheetFormatPr baseColWidth="10" defaultColWidth="19.81640625" defaultRowHeight="15.6"/>
  <cols>
    <col min="1" max="3" width="19.81640625" style="1"/>
    <col min="4" max="5" width="12.1796875" style="55" customWidth="1"/>
    <col min="6" max="8" width="19.81640625" style="1"/>
    <col min="9" max="9" width="19.81640625" style="9"/>
    <col min="10" max="11" width="19.81640625" style="1"/>
    <col min="12" max="12" width="30.1796875" style="1" customWidth="1"/>
    <col min="13" max="14" width="42.6328125" style="1" customWidth="1"/>
    <col min="15" max="17" width="19.81640625" style="1"/>
    <col min="18" max="28" width="9.81640625" style="4" customWidth="1"/>
    <col min="29" max="29" width="9.81640625" style="9" customWidth="1"/>
    <col min="30" max="31" width="9.81640625" style="21" customWidth="1"/>
    <col min="32" max="32" width="9.81640625" style="24" customWidth="1"/>
    <col min="33" max="33" width="1.81640625" style="42" customWidth="1"/>
    <col min="34" max="34" width="9.81640625" style="4" customWidth="1"/>
    <col min="35" max="46" width="9.81640625" style="1" customWidth="1"/>
    <col min="47" max="47" width="2.6328125" style="42" customWidth="1"/>
    <col min="48" max="48" width="19.81640625" style="1"/>
    <col min="49" max="98" width="8.81640625" style="9" customWidth="1"/>
    <col min="303" max="16384" width="19.81640625" style="1"/>
  </cols>
  <sheetData>
    <row r="2" spans="1:98" ht="30" customHeight="1">
      <c r="A2" s="65" t="s">
        <v>826</v>
      </c>
    </row>
    <row r="3" spans="1:98" ht="30" customHeight="1">
      <c r="A3" s="79" t="s">
        <v>872</v>
      </c>
    </row>
    <row r="4" spans="1:98" ht="30" customHeight="1">
      <c r="A4" s="79" t="s">
        <v>873</v>
      </c>
    </row>
    <row r="5" spans="1:98" ht="106.8" customHeight="1">
      <c r="A5" s="80" t="s">
        <v>874</v>
      </c>
      <c r="B5" s="80"/>
      <c r="C5" s="80"/>
      <c r="D5" s="80"/>
      <c r="E5" s="80"/>
      <c r="F5" s="80"/>
      <c r="G5" s="80"/>
      <c r="H5" s="80"/>
      <c r="I5" s="80"/>
      <c r="J5" s="80"/>
    </row>
    <row r="6" spans="1:98" ht="30" customHeight="1">
      <c r="A6" s="79"/>
    </row>
    <row r="7" spans="1:98" ht="30" customHeight="1">
      <c r="A7" s="79"/>
    </row>
    <row r="9" spans="1:98" ht="21" customHeight="1">
      <c r="A9" s="1" t="s">
        <v>250</v>
      </c>
      <c r="B9" s="1" t="s">
        <v>427</v>
      </c>
      <c r="C9" s="1" t="s">
        <v>253</v>
      </c>
      <c r="D9" s="55" t="s">
        <v>272</v>
      </c>
      <c r="E9" s="55" t="s">
        <v>273</v>
      </c>
      <c r="F9" s="1" t="s">
        <v>254</v>
      </c>
      <c r="G9" s="1" t="s">
        <v>254</v>
      </c>
      <c r="H9" s="1" t="s">
        <v>254</v>
      </c>
      <c r="I9" s="9" t="s">
        <v>254</v>
      </c>
      <c r="J9" s="1" t="s">
        <v>255</v>
      </c>
      <c r="K9" s="1" t="s">
        <v>257</v>
      </c>
      <c r="L9" s="1" t="s">
        <v>252</v>
      </c>
      <c r="M9" s="1" t="s">
        <v>861</v>
      </c>
      <c r="N9" s="1" t="s">
        <v>861</v>
      </c>
      <c r="O9" s="1" t="s">
        <v>419</v>
      </c>
      <c r="P9" s="1" t="s">
        <v>258</v>
      </c>
      <c r="Q9" s="1" t="s">
        <v>260</v>
      </c>
      <c r="R9" s="5" t="s">
        <v>0</v>
      </c>
      <c r="S9" s="5" t="s">
        <v>1</v>
      </c>
      <c r="T9" s="5" t="s">
        <v>2</v>
      </c>
      <c r="U9" s="5" t="s">
        <v>3</v>
      </c>
      <c r="V9" s="5" t="s">
        <v>4</v>
      </c>
      <c r="W9" s="5" t="s">
        <v>5</v>
      </c>
      <c r="X9" s="5" t="s">
        <v>6</v>
      </c>
      <c r="Y9" s="5" t="s">
        <v>7</v>
      </c>
      <c r="Z9" s="5" t="s">
        <v>8</v>
      </c>
      <c r="AA9" s="5" t="s">
        <v>9</v>
      </c>
      <c r="AB9" s="5" t="s">
        <v>10</v>
      </c>
      <c r="AC9" s="3" t="s">
        <v>11</v>
      </c>
      <c r="AD9" s="21" t="s">
        <v>12</v>
      </c>
      <c r="AE9" s="21" t="s">
        <v>274</v>
      </c>
      <c r="AF9" s="22" t="s">
        <v>276</v>
      </c>
      <c r="AH9" s="5" t="s">
        <v>0</v>
      </c>
      <c r="AI9" s="5" t="s">
        <v>1</v>
      </c>
      <c r="AJ9" s="5" t="s">
        <v>2</v>
      </c>
      <c r="AK9" s="5" t="s">
        <v>3</v>
      </c>
      <c r="AL9" s="5" t="s">
        <v>4</v>
      </c>
      <c r="AM9" s="5" t="s">
        <v>5</v>
      </c>
      <c r="AN9" s="5" t="s">
        <v>6</v>
      </c>
      <c r="AO9" s="5" t="s">
        <v>7</v>
      </c>
      <c r="AP9" s="5" t="s">
        <v>8</v>
      </c>
      <c r="AQ9" s="5" t="s">
        <v>9</v>
      </c>
      <c r="AR9" s="5" t="s">
        <v>10</v>
      </c>
      <c r="AS9" s="4" t="s">
        <v>12</v>
      </c>
      <c r="AT9" s="5" t="s">
        <v>13</v>
      </c>
      <c r="AV9" s="1" t="s">
        <v>260</v>
      </c>
      <c r="AW9" s="3" t="s">
        <v>14</v>
      </c>
      <c r="AX9" s="3" t="s">
        <v>15</v>
      </c>
      <c r="AY9" s="3" t="s">
        <v>16</v>
      </c>
      <c r="AZ9" s="3" t="s">
        <v>313</v>
      </c>
      <c r="BA9" s="3" t="s">
        <v>17</v>
      </c>
      <c r="BB9" s="3" t="s">
        <v>18</v>
      </c>
      <c r="BC9" s="3" t="s">
        <v>18</v>
      </c>
      <c r="BD9" s="3" t="s">
        <v>19</v>
      </c>
      <c r="BE9" s="3" t="s">
        <v>19</v>
      </c>
      <c r="BF9" s="3" t="s">
        <v>20</v>
      </c>
      <c r="BG9" s="3" t="s">
        <v>20</v>
      </c>
      <c r="BH9" s="3" t="s">
        <v>21</v>
      </c>
      <c r="BI9" s="3" t="s">
        <v>21</v>
      </c>
      <c r="BJ9" s="3" t="s">
        <v>22</v>
      </c>
      <c r="BK9" s="3" t="s">
        <v>22</v>
      </c>
      <c r="BL9" s="3" t="s">
        <v>23</v>
      </c>
      <c r="BM9" s="3" t="s">
        <v>287</v>
      </c>
      <c r="BN9" s="3" t="s">
        <v>24</v>
      </c>
      <c r="BO9" s="3" t="s">
        <v>24</v>
      </c>
      <c r="BP9" s="3" t="s">
        <v>25</v>
      </c>
      <c r="BQ9" s="3" t="s">
        <v>25</v>
      </c>
      <c r="BR9" s="3" t="s">
        <v>314</v>
      </c>
      <c r="BS9" s="3" t="s">
        <v>26</v>
      </c>
      <c r="BT9" s="3" t="s">
        <v>27</v>
      </c>
      <c r="BU9" s="3" t="s">
        <v>27</v>
      </c>
      <c r="BV9" s="3" t="s">
        <v>28</v>
      </c>
      <c r="BW9" s="3" t="s">
        <v>28</v>
      </c>
      <c r="BX9" s="3" t="s">
        <v>29</v>
      </c>
      <c r="BY9" s="3" t="s">
        <v>30</v>
      </c>
      <c r="BZ9" s="3" t="s">
        <v>31</v>
      </c>
      <c r="CA9" s="3" t="s">
        <v>32</v>
      </c>
      <c r="CB9" s="3" t="s">
        <v>33</v>
      </c>
      <c r="CC9" s="3" t="s">
        <v>34</v>
      </c>
      <c r="CD9" s="3" t="s">
        <v>35</v>
      </c>
      <c r="CE9" s="3" t="s">
        <v>36</v>
      </c>
      <c r="CF9" s="3" t="s">
        <v>37</v>
      </c>
      <c r="CG9" s="3" t="s">
        <v>38</v>
      </c>
      <c r="CH9" s="3" t="s">
        <v>39</v>
      </c>
      <c r="CI9" s="3" t="s">
        <v>40</v>
      </c>
      <c r="CJ9" s="3" t="s">
        <v>41</v>
      </c>
      <c r="CK9" s="3" t="s">
        <v>42</v>
      </c>
      <c r="CL9" s="3" t="s">
        <v>43</v>
      </c>
      <c r="CM9" s="3" t="s">
        <v>44</v>
      </c>
      <c r="CN9" s="3" t="s">
        <v>45</v>
      </c>
      <c r="CO9" s="3" t="s">
        <v>46</v>
      </c>
      <c r="CP9" s="3" t="s">
        <v>47</v>
      </c>
      <c r="CQ9" s="3" t="s">
        <v>48</v>
      </c>
      <c r="CR9" s="3" t="s">
        <v>49</v>
      </c>
      <c r="CS9" s="3" t="s">
        <v>50</v>
      </c>
      <c r="CT9" s="3" t="s">
        <v>51</v>
      </c>
    </row>
    <row r="10" spans="1:98">
      <c r="G10" s="1" t="s">
        <v>424</v>
      </c>
      <c r="H10" s="1" t="s">
        <v>425</v>
      </c>
      <c r="I10" s="9" t="s">
        <v>855</v>
      </c>
      <c r="O10" s="2"/>
      <c r="P10" s="1" t="s">
        <v>259</v>
      </c>
      <c r="Q10" s="1" t="s">
        <v>259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3"/>
      <c r="AF10" s="22"/>
      <c r="AG10" s="43"/>
      <c r="AH10" s="58" t="s">
        <v>275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4"/>
      <c r="AT10" s="5"/>
      <c r="AU10" s="43"/>
      <c r="AV10" s="1" t="s">
        <v>259</v>
      </c>
      <c r="AW10" s="3"/>
      <c r="AX10" s="3"/>
      <c r="AY10" s="3"/>
      <c r="AZ10" s="3"/>
      <c r="BA10" s="3" t="s">
        <v>312</v>
      </c>
      <c r="BB10" s="3"/>
      <c r="BC10" s="3" t="s">
        <v>312</v>
      </c>
      <c r="BD10" s="3"/>
      <c r="BE10" s="3" t="s">
        <v>312</v>
      </c>
      <c r="BF10" s="3"/>
      <c r="BG10" s="3" t="s">
        <v>312</v>
      </c>
      <c r="BH10" s="3"/>
      <c r="BI10" s="3" t="s">
        <v>312</v>
      </c>
      <c r="BJ10" s="3"/>
      <c r="BK10" s="3" t="s">
        <v>312</v>
      </c>
      <c r="BL10" s="3"/>
      <c r="BM10" s="3"/>
      <c r="BN10" s="3"/>
      <c r="BO10" s="3" t="s">
        <v>312</v>
      </c>
      <c r="BP10" s="3"/>
      <c r="BQ10" s="3" t="s">
        <v>312</v>
      </c>
      <c r="BR10" s="3"/>
      <c r="BS10" s="3" t="s">
        <v>312</v>
      </c>
      <c r="BT10" s="3"/>
      <c r="BU10" s="3" t="s">
        <v>312</v>
      </c>
      <c r="BV10" s="3"/>
      <c r="BW10" s="3" t="s">
        <v>312</v>
      </c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</row>
    <row r="11" spans="1:98">
      <c r="A11" s="77" t="s">
        <v>856</v>
      </c>
      <c r="D11" s="55" t="s">
        <v>859</v>
      </c>
      <c r="E11" s="55" t="s">
        <v>859</v>
      </c>
      <c r="I11" s="1"/>
      <c r="O11" s="2"/>
      <c r="R11" s="3" t="s">
        <v>857</v>
      </c>
      <c r="S11" s="3" t="s">
        <v>857</v>
      </c>
      <c r="T11" s="3" t="s">
        <v>857</v>
      </c>
      <c r="U11" s="3" t="s">
        <v>857</v>
      </c>
      <c r="V11" s="3" t="s">
        <v>857</v>
      </c>
      <c r="W11" s="3" t="s">
        <v>857</v>
      </c>
      <c r="X11" s="3" t="s">
        <v>857</v>
      </c>
      <c r="Y11" s="3" t="s">
        <v>857</v>
      </c>
      <c r="Z11" s="3" t="s">
        <v>857</v>
      </c>
      <c r="AA11" s="3" t="s">
        <v>857</v>
      </c>
      <c r="AB11" s="3" t="s">
        <v>857</v>
      </c>
      <c r="AC11" s="3" t="s">
        <v>857</v>
      </c>
      <c r="AD11" s="3" t="s">
        <v>857</v>
      </c>
      <c r="AE11" s="3" t="s">
        <v>857</v>
      </c>
      <c r="AF11" s="22"/>
      <c r="AG11" s="43"/>
      <c r="AH11" s="3" t="s">
        <v>857</v>
      </c>
      <c r="AI11" s="3" t="s">
        <v>857</v>
      </c>
      <c r="AJ11" s="3" t="s">
        <v>857</v>
      </c>
      <c r="AK11" s="3" t="s">
        <v>857</v>
      </c>
      <c r="AL11" s="3" t="s">
        <v>857</v>
      </c>
      <c r="AM11" s="3" t="s">
        <v>857</v>
      </c>
      <c r="AN11" s="3" t="s">
        <v>857</v>
      </c>
      <c r="AO11" s="3" t="s">
        <v>857</v>
      </c>
      <c r="AP11" s="3" t="s">
        <v>857</v>
      </c>
      <c r="AQ11" s="3" t="s">
        <v>857</v>
      </c>
      <c r="AR11" s="3" t="s">
        <v>857</v>
      </c>
      <c r="AS11" s="3" t="s">
        <v>857</v>
      </c>
      <c r="AT11" s="3" t="s">
        <v>857</v>
      </c>
      <c r="AU11" s="43"/>
      <c r="AW11" s="3" t="s">
        <v>858</v>
      </c>
      <c r="AX11" s="3" t="s">
        <v>858</v>
      </c>
      <c r="AY11" s="3" t="s">
        <v>858</v>
      </c>
      <c r="AZ11" s="3" t="s">
        <v>858</v>
      </c>
      <c r="BA11" s="3" t="s">
        <v>858</v>
      </c>
      <c r="BB11" s="3" t="s">
        <v>858</v>
      </c>
      <c r="BC11" s="3" t="s">
        <v>858</v>
      </c>
      <c r="BD11" s="3" t="s">
        <v>858</v>
      </c>
      <c r="BE11" s="3" t="s">
        <v>858</v>
      </c>
      <c r="BF11" s="3" t="s">
        <v>858</v>
      </c>
      <c r="BG11" s="3" t="s">
        <v>858</v>
      </c>
      <c r="BH11" s="3" t="s">
        <v>858</v>
      </c>
      <c r="BI11" s="3" t="s">
        <v>858</v>
      </c>
      <c r="BJ11" s="3" t="s">
        <v>858</v>
      </c>
      <c r="BK11" s="3" t="s">
        <v>858</v>
      </c>
      <c r="BL11" s="3" t="s">
        <v>858</v>
      </c>
      <c r="BM11" s="3" t="s">
        <v>858</v>
      </c>
      <c r="BN11" s="3" t="s">
        <v>858</v>
      </c>
      <c r="BO11" s="3" t="s">
        <v>858</v>
      </c>
      <c r="BP11" s="3" t="s">
        <v>858</v>
      </c>
      <c r="BQ11" s="3" t="s">
        <v>858</v>
      </c>
      <c r="BR11" s="3" t="s">
        <v>858</v>
      </c>
      <c r="BS11" s="3" t="s">
        <v>858</v>
      </c>
      <c r="BT11" s="3" t="s">
        <v>858</v>
      </c>
      <c r="BU11" s="3" t="s">
        <v>858</v>
      </c>
      <c r="BV11" s="3" t="s">
        <v>858</v>
      </c>
      <c r="BW11" s="3" t="s">
        <v>858</v>
      </c>
      <c r="BX11" s="3" t="s">
        <v>858</v>
      </c>
      <c r="BY11" s="3" t="s">
        <v>858</v>
      </c>
      <c r="BZ11" s="3" t="s">
        <v>858</v>
      </c>
      <c r="CA11" s="3" t="s">
        <v>858</v>
      </c>
      <c r="CB11" s="3" t="s">
        <v>858</v>
      </c>
      <c r="CC11" s="3" t="s">
        <v>858</v>
      </c>
      <c r="CD11" s="3" t="s">
        <v>858</v>
      </c>
      <c r="CE11" s="3" t="s">
        <v>858</v>
      </c>
      <c r="CF11" s="3" t="s">
        <v>858</v>
      </c>
      <c r="CG11" s="3" t="s">
        <v>858</v>
      </c>
      <c r="CH11" s="3" t="s">
        <v>858</v>
      </c>
      <c r="CI11" s="3" t="s">
        <v>858</v>
      </c>
      <c r="CJ11" s="3" t="s">
        <v>858</v>
      </c>
      <c r="CK11" s="3" t="s">
        <v>858</v>
      </c>
      <c r="CL11" s="3" t="s">
        <v>858</v>
      </c>
      <c r="CM11" s="3" t="s">
        <v>858</v>
      </c>
      <c r="CN11" s="3" t="s">
        <v>858</v>
      </c>
      <c r="CO11" s="3" t="s">
        <v>858</v>
      </c>
      <c r="CP11" s="3" t="s">
        <v>858</v>
      </c>
      <c r="CQ11" s="3" t="s">
        <v>858</v>
      </c>
      <c r="CR11" s="3" t="s">
        <v>858</v>
      </c>
      <c r="CS11" s="3" t="s">
        <v>858</v>
      </c>
      <c r="CT11" s="3" t="s">
        <v>858</v>
      </c>
    </row>
    <row r="12" spans="1:98">
      <c r="I12" s="1"/>
      <c r="O12" s="2"/>
      <c r="P12" s="10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3"/>
      <c r="AF12" s="22"/>
      <c r="AG12" s="43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4"/>
      <c r="AT12" s="5"/>
      <c r="AU12" s="4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</row>
    <row r="13" spans="1:98" ht="20.399999999999999">
      <c r="A13" s="76" t="s">
        <v>825</v>
      </c>
      <c r="B13" s="13"/>
      <c r="C13" s="52"/>
      <c r="D13" s="30"/>
      <c r="E13" s="30"/>
      <c r="F13" s="13"/>
      <c r="G13" s="13"/>
      <c r="H13" s="13"/>
      <c r="I13" s="17"/>
      <c r="J13" s="13"/>
      <c r="K13" s="13"/>
      <c r="L13" s="13"/>
      <c r="M13" s="13"/>
      <c r="N13" s="13"/>
      <c r="O13" s="14"/>
      <c r="P13" s="11"/>
      <c r="Q13" s="13"/>
      <c r="R13" s="25"/>
      <c r="S13" s="25"/>
      <c r="T13" s="25"/>
      <c r="U13" s="25"/>
      <c r="V13" s="26"/>
      <c r="W13" s="25"/>
      <c r="X13" s="25"/>
      <c r="Y13" s="25"/>
      <c r="Z13" s="25"/>
      <c r="AA13" s="25"/>
      <c r="AB13" s="25"/>
      <c r="AC13" s="15"/>
      <c r="AD13" s="23"/>
      <c r="AE13" s="23"/>
      <c r="AF13" s="23"/>
      <c r="AG13" s="44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44"/>
      <c r="AV13" s="13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</row>
    <row r="14" spans="1:98">
      <c r="A14" s="56" t="s">
        <v>653</v>
      </c>
      <c r="B14" s="16"/>
      <c r="C14" s="26"/>
      <c r="D14" s="30"/>
      <c r="E14" s="30"/>
      <c r="F14" s="16"/>
      <c r="G14" s="16"/>
      <c r="H14" s="16"/>
      <c r="I14" s="17"/>
      <c r="J14" s="16"/>
      <c r="K14" s="16"/>
      <c r="L14" s="16"/>
      <c r="M14" s="16"/>
      <c r="N14" s="16"/>
      <c r="O14" s="18"/>
      <c r="P14" s="12"/>
      <c r="Q14" s="16"/>
      <c r="R14" s="25"/>
      <c r="S14" s="25"/>
      <c r="T14" s="25"/>
      <c r="U14" s="25"/>
      <c r="V14" s="26"/>
      <c r="W14" s="25"/>
      <c r="X14" s="25"/>
      <c r="Y14" s="25"/>
      <c r="Z14" s="25"/>
      <c r="AA14" s="25"/>
      <c r="AB14" s="25"/>
      <c r="AC14" s="15"/>
      <c r="AD14" s="23"/>
      <c r="AE14" s="23"/>
      <c r="AF14" s="23"/>
      <c r="AG14" s="45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45"/>
      <c r="AV14" s="16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</row>
    <row r="15" spans="1:98">
      <c r="A15" s="1" t="s">
        <v>271</v>
      </c>
      <c r="B15" s="1" t="s">
        <v>263</v>
      </c>
      <c r="C15" s="1" t="s">
        <v>718</v>
      </c>
      <c r="D15" s="62">
        <v>64.964782</v>
      </c>
      <c r="E15" s="62">
        <v>2.729222</v>
      </c>
      <c r="I15" s="9">
        <v>32.229999999999997</v>
      </c>
      <c r="J15" s="1" t="s">
        <v>256</v>
      </c>
      <c r="K15" s="1" t="s">
        <v>52</v>
      </c>
      <c r="L15" s="1" t="s">
        <v>864</v>
      </c>
      <c r="M15" s="78" t="s">
        <v>862</v>
      </c>
      <c r="N15" s="78"/>
      <c r="P15" s="1" t="s">
        <v>815</v>
      </c>
      <c r="Q15" s="1" t="s">
        <v>286</v>
      </c>
      <c r="R15" s="4">
        <v>49.756999999999998</v>
      </c>
      <c r="S15" s="4">
        <v>1.3149999999999999</v>
      </c>
      <c r="T15" s="4">
        <v>14.680999999999999</v>
      </c>
      <c r="U15" s="4">
        <v>13.26</v>
      </c>
      <c r="W15" s="4">
        <v>0.224</v>
      </c>
      <c r="X15" s="4">
        <v>8.1370000000000005</v>
      </c>
      <c r="Y15" s="4">
        <v>11.766</v>
      </c>
      <c r="Z15" s="4">
        <v>2.2389999999999999</v>
      </c>
      <c r="AA15" s="4">
        <v>0.318</v>
      </c>
      <c r="AB15" s="4">
        <v>9.0999999999999998E-2</v>
      </c>
      <c r="AC15" s="9">
        <v>2.3497435447810031</v>
      </c>
      <c r="AD15" s="21">
        <f>SUM(R15:AB15)</f>
        <v>101.78800000000001</v>
      </c>
      <c r="AE15" s="21">
        <f t="shared" ref="AE15:AE25" si="0">V15+0.899*U15</f>
        <v>11.92074</v>
      </c>
      <c r="AF15" s="23">
        <f t="shared" ref="AF15:AF25" si="1">(X15/40.3)/((X15/40.3)+(AE15/71.844))</f>
        <v>0.54891491172609364</v>
      </c>
      <c r="AH15" s="16">
        <f>100*R15/SUM($R15:$AB15)</f>
        <v>48.882972452548429</v>
      </c>
      <c r="AI15" s="16">
        <f t="shared" ref="AI15:AI25" si="2">100*S15/SUM($R15:$AB15)</f>
        <v>1.2919008134554171</v>
      </c>
      <c r="AJ15" s="16">
        <f t="shared" ref="AJ15:AJ25" si="3">100*T15/SUM($R15:$AB15)</f>
        <v>14.423114709003023</v>
      </c>
      <c r="AK15" s="16">
        <f t="shared" ref="AK15:AK25" si="4">100*U15/SUM($R15:$AB15)</f>
        <v>13.027075883208235</v>
      </c>
      <c r="AL15" s="16">
        <f t="shared" ref="AL15:AL25" si="5">100*V15/SUM($R15:$AB15)</f>
        <v>0</v>
      </c>
      <c r="AM15" s="16">
        <f t="shared" ref="AM15:AM25" si="6">100*W15/SUM($R15:$AB15)</f>
        <v>0.2200652336228239</v>
      </c>
      <c r="AN15" s="16">
        <f t="shared" ref="AN15:AN25" si="7">100*X15/SUM($R15:$AB15)</f>
        <v>7.9940660981648124</v>
      </c>
      <c r="AO15" s="16">
        <f t="shared" ref="AO15:AO25" si="8">100*Y15/SUM($R15:$AB15)</f>
        <v>11.559319369670293</v>
      </c>
      <c r="AP15" s="16">
        <f t="shared" ref="AP15:AP25" si="9">100*Z15/SUM($R15:$AB15)</f>
        <v>2.1996699021495654</v>
      </c>
      <c r="AQ15" s="16">
        <f t="shared" ref="AQ15:AQ25" si="10">100*AA15/SUM($R15:$AB15)</f>
        <v>0.31241403701811604</v>
      </c>
      <c r="AR15" s="16">
        <f t="shared" ref="AR15:AR25" si="11">100*AB15/SUM($R15:$AB15)</f>
        <v>8.9401501159272201E-2</v>
      </c>
      <c r="AS15" s="16">
        <f t="shared" ref="AS15:AS25" si="12">SUM(AH15:AR15)</f>
        <v>99.999999999999986</v>
      </c>
      <c r="AT15" s="16">
        <f t="shared" ref="AT15:AT25" si="13">AL15+0.899*AK15</f>
        <v>11.711341219004204</v>
      </c>
      <c r="AV15" s="1" t="s">
        <v>400</v>
      </c>
      <c r="AW15" s="69">
        <v>15.129404454496941</v>
      </c>
      <c r="AX15" s="69"/>
      <c r="AY15" s="69">
        <v>57.69817822794046</v>
      </c>
      <c r="AZ15" s="69">
        <v>380.20198947046725</v>
      </c>
      <c r="BA15" s="69"/>
      <c r="BB15" s="69">
        <v>249.94976143183152</v>
      </c>
      <c r="BC15" s="69"/>
      <c r="BD15" s="69">
        <v>53.085541464470218</v>
      </c>
      <c r="BE15" s="69"/>
      <c r="BF15" s="69"/>
      <c r="BG15" s="69"/>
      <c r="BH15" s="69">
        <v>121.88630528156747</v>
      </c>
      <c r="BI15" s="69"/>
      <c r="BJ15" s="69">
        <v>94.031869107201118</v>
      </c>
      <c r="BK15" s="69"/>
      <c r="BL15" s="69">
        <v>17.370161290491026</v>
      </c>
      <c r="BM15" s="69"/>
      <c r="BN15" s="69">
        <v>7.0967271157874681</v>
      </c>
      <c r="BP15" s="69">
        <v>84.379392198970663</v>
      </c>
      <c r="BQ15" s="69"/>
      <c r="BR15" s="69">
        <v>36.044379964599301</v>
      </c>
      <c r="BS15" s="69"/>
      <c r="BT15" s="69">
        <v>73.254703091868322</v>
      </c>
      <c r="BV15" s="9">
        <v>1.4427715742496907</v>
      </c>
      <c r="BZ15" s="9">
        <v>0.36330146504093663</v>
      </c>
      <c r="CA15" s="9">
        <v>25.853031614241168</v>
      </c>
      <c r="CB15" s="9">
        <v>2.075793357333505</v>
      </c>
      <c r="CC15" s="9">
        <v>6.1672498309355586</v>
      </c>
      <c r="CD15" s="9">
        <v>1.1450455303845881</v>
      </c>
      <c r="CE15" s="9">
        <v>6.769366622656853</v>
      </c>
      <c r="CF15" s="9">
        <v>2.7835319623964105</v>
      </c>
      <c r="CG15" s="9">
        <v>1.1886276453183537</v>
      </c>
      <c r="CH15" s="9">
        <v>4.4306293402114232</v>
      </c>
      <c r="CI15" s="9">
        <v>0.8749399647661763</v>
      </c>
      <c r="CJ15" s="9">
        <v>5.6838312373873299</v>
      </c>
      <c r="CK15" s="9">
        <v>1.3108749848523247</v>
      </c>
      <c r="CL15" s="9">
        <v>3.6169003880986064</v>
      </c>
      <c r="CM15" s="9">
        <v>0.53393995581167475</v>
      </c>
      <c r="CN15" s="9">
        <v>3.5717329403273697</v>
      </c>
      <c r="CO15" s="9">
        <v>0.48943773521586087</v>
      </c>
      <c r="CP15" s="9">
        <v>1.8926347829011829</v>
      </c>
      <c r="CQ15" s="9">
        <v>7.542551662134428E-2</v>
      </c>
      <c r="CR15" s="9">
        <v>0.51240683859669878</v>
      </c>
      <c r="CS15" s="9">
        <v>0.2380111157060768</v>
      </c>
      <c r="CT15" s="9">
        <v>0.11096018562689762</v>
      </c>
    </row>
    <row r="16" spans="1:98">
      <c r="A16" s="1" t="s">
        <v>271</v>
      </c>
      <c r="B16" s="1" t="s">
        <v>263</v>
      </c>
      <c r="C16" s="1" t="s">
        <v>719</v>
      </c>
      <c r="D16" s="62">
        <v>64.964782</v>
      </c>
      <c r="E16" s="62">
        <v>2.729222</v>
      </c>
      <c r="I16" s="9">
        <v>42.74</v>
      </c>
      <c r="J16" s="1" t="s">
        <v>256</v>
      </c>
      <c r="K16" s="1" t="s">
        <v>52</v>
      </c>
      <c r="L16" s="1" t="s">
        <v>864</v>
      </c>
      <c r="M16" s="78" t="s">
        <v>862</v>
      </c>
      <c r="N16" s="78"/>
      <c r="P16" s="1" t="s">
        <v>815</v>
      </c>
      <c r="Q16" s="1" t="s">
        <v>286</v>
      </c>
      <c r="R16" s="4">
        <v>48.59</v>
      </c>
      <c r="S16" s="4">
        <v>1.016</v>
      </c>
      <c r="T16" s="4">
        <v>13.395</v>
      </c>
      <c r="U16" s="4">
        <v>14.257</v>
      </c>
      <c r="W16" s="4">
        <v>0.40600000000000003</v>
      </c>
      <c r="X16" s="4">
        <v>9.5</v>
      </c>
      <c r="Y16" s="4">
        <v>8.1820000000000004</v>
      </c>
      <c r="Z16" s="4">
        <v>1.8220000000000001</v>
      </c>
      <c r="AA16" s="4">
        <v>0.48499999999999999</v>
      </c>
      <c r="AB16" s="4">
        <v>0.123</v>
      </c>
      <c r="AC16" s="9">
        <v>8.6933752291176152</v>
      </c>
      <c r="AD16" s="21">
        <f t="shared" ref="AD16:AD25" si="14">SUM(R16:AB16)</f>
        <v>97.776000000000025</v>
      </c>
      <c r="AE16" s="21">
        <f t="shared" si="0"/>
        <v>12.817043</v>
      </c>
      <c r="AF16" s="23">
        <f t="shared" si="1"/>
        <v>0.56921808198719948</v>
      </c>
      <c r="AH16" s="16">
        <f t="shared" ref="AH16:AH25" si="15">100*R16/SUM($R16:$AB16)</f>
        <v>49.695221731304194</v>
      </c>
      <c r="AI16" s="16">
        <f t="shared" si="2"/>
        <v>1.0391098019963996</v>
      </c>
      <c r="AJ16" s="16">
        <f t="shared" si="3"/>
        <v>13.699680903289147</v>
      </c>
      <c r="AK16" s="16">
        <f t="shared" si="4"/>
        <v>14.581287841597117</v>
      </c>
      <c r="AL16" s="16">
        <f t="shared" si="5"/>
        <v>0</v>
      </c>
      <c r="AM16" s="16">
        <f t="shared" si="6"/>
        <v>0.41523482245131721</v>
      </c>
      <c r="AN16" s="16">
        <f t="shared" si="7"/>
        <v>9.7160857470135795</v>
      </c>
      <c r="AO16" s="16">
        <f t="shared" si="8"/>
        <v>8.3681066928489596</v>
      </c>
      <c r="AP16" s="16">
        <f t="shared" si="9"/>
        <v>1.863442971690394</v>
      </c>
      <c r="AQ16" s="16">
        <f t="shared" si="10"/>
        <v>0.49603174603174588</v>
      </c>
      <c r="AR16" s="16">
        <f t="shared" si="11"/>
        <v>0.12579774177712319</v>
      </c>
      <c r="AS16" s="16">
        <f t="shared" si="12"/>
        <v>99.999999999999957</v>
      </c>
      <c r="AT16" s="16">
        <f t="shared" si="13"/>
        <v>13.108577769595808</v>
      </c>
      <c r="AV16" s="1" t="s">
        <v>400</v>
      </c>
      <c r="AW16" s="69">
        <v>34.538974495821577</v>
      </c>
      <c r="AX16" s="69"/>
      <c r="AY16" s="69">
        <v>52.113119776781602</v>
      </c>
      <c r="AZ16" s="69">
        <v>332.48255893652606</v>
      </c>
      <c r="BA16" s="69"/>
      <c r="BB16" s="69">
        <v>291.42257033411477</v>
      </c>
      <c r="BC16" s="69"/>
      <c r="BD16" s="69">
        <v>50.457942785993644</v>
      </c>
      <c r="BE16" s="69"/>
      <c r="BF16" s="69"/>
      <c r="BG16" s="69"/>
      <c r="BH16" s="69">
        <v>106.28366392306026</v>
      </c>
      <c r="BI16" s="69"/>
      <c r="BJ16" s="69">
        <v>74.450802147823239</v>
      </c>
      <c r="BK16" s="69"/>
      <c r="BL16" s="69">
        <v>15.840629738296093</v>
      </c>
      <c r="BM16" s="69"/>
      <c r="BN16" s="69">
        <v>9.3326503207673941</v>
      </c>
      <c r="BP16" s="69">
        <v>62.371557696892758</v>
      </c>
      <c r="BQ16" s="69"/>
      <c r="BR16" s="69">
        <v>28.124696127018282</v>
      </c>
      <c r="BS16" s="69"/>
      <c r="BT16" s="69">
        <v>56.451995950779605</v>
      </c>
      <c r="BV16" s="9">
        <v>0.72730538801751854</v>
      </c>
      <c r="BZ16" s="9">
        <v>0.21323687766393068</v>
      </c>
      <c r="CA16" s="9">
        <v>16.75511251031152</v>
      </c>
      <c r="CB16" s="9">
        <v>1.3958460685419003</v>
      </c>
      <c r="CC16" s="9">
        <v>4.7016405857308836</v>
      </c>
      <c r="CD16" s="9">
        <v>0.91229238244295952</v>
      </c>
      <c r="CE16" s="9">
        <v>5.56507491567596</v>
      </c>
      <c r="CF16" s="9">
        <v>2.4242679854764648</v>
      </c>
      <c r="CG16" s="9">
        <v>1.0485164046759794</v>
      </c>
      <c r="CH16" s="9">
        <v>3.4980112703071424</v>
      </c>
      <c r="CI16" s="9">
        <v>0.71527837484673185</v>
      </c>
      <c r="CJ16" s="9">
        <v>4.7186717597786219</v>
      </c>
      <c r="CK16" s="9">
        <v>1.0786821027934914</v>
      </c>
      <c r="CL16" s="9">
        <v>2.9448274483984296</v>
      </c>
      <c r="CM16" s="9">
        <v>0.46743504772784994</v>
      </c>
      <c r="CN16" s="9">
        <v>2.9108670220087234</v>
      </c>
      <c r="CO16" s="9">
        <v>0.39020535546554552</v>
      </c>
      <c r="CP16" s="9">
        <v>1.628736764406846</v>
      </c>
      <c r="CQ16" s="9">
        <v>4.6743862432195304E-2</v>
      </c>
      <c r="CR16" s="9">
        <v>0.35144399763522455</v>
      </c>
      <c r="CS16" s="9">
        <v>0.13977030027248832</v>
      </c>
      <c r="CT16" s="9">
        <v>5.3631821231461124E-2</v>
      </c>
    </row>
    <row r="17" spans="1:98">
      <c r="A17" s="1" t="s">
        <v>271</v>
      </c>
      <c r="B17" s="1" t="s">
        <v>263</v>
      </c>
      <c r="C17" s="1" t="s">
        <v>720</v>
      </c>
      <c r="D17" s="62">
        <v>64.964782</v>
      </c>
      <c r="E17" s="62">
        <v>2.729222</v>
      </c>
      <c r="I17" s="9">
        <v>53.55</v>
      </c>
      <c r="J17" s="1" t="s">
        <v>256</v>
      </c>
      <c r="K17" s="1" t="s">
        <v>52</v>
      </c>
      <c r="L17" s="1" t="s">
        <v>864</v>
      </c>
      <c r="M17" s="78" t="s">
        <v>862</v>
      </c>
      <c r="N17" s="78"/>
      <c r="P17" s="1" t="s">
        <v>815</v>
      </c>
      <c r="Q17" s="1" t="s">
        <v>286</v>
      </c>
      <c r="R17" s="4">
        <v>49.637999999999998</v>
      </c>
      <c r="S17" s="4">
        <v>1.0980000000000001</v>
      </c>
      <c r="T17" s="4">
        <v>14.738</v>
      </c>
      <c r="U17" s="4">
        <v>12.284000000000001</v>
      </c>
      <c r="W17" s="4">
        <v>0.26600000000000001</v>
      </c>
      <c r="X17" s="4">
        <v>10.464</v>
      </c>
      <c r="Y17" s="4">
        <v>8.8539999999999992</v>
      </c>
      <c r="Z17" s="4">
        <v>2.2570000000000001</v>
      </c>
      <c r="AA17" s="4">
        <v>0.26900000000000002</v>
      </c>
      <c r="AB17" s="4">
        <v>9.5000000000000001E-2</v>
      </c>
      <c r="AC17" s="9">
        <v>6.2169253346378381</v>
      </c>
      <c r="AD17" s="21">
        <f t="shared" si="14"/>
        <v>99.963000000000008</v>
      </c>
      <c r="AE17" s="21">
        <f t="shared" si="0"/>
        <v>11.043316000000001</v>
      </c>
      <c r="AF17" s="23">
        <f t="shared" si="1"/>
        <v>0.62814360582040563</v>
      </c>
      <c r="AH17" s="16">
        <f t="shared" si="15"/>
        <v>49.656372857957443</v>
      </c>
      <c r="AI17" s="16">
        <f t="shared" si="2"/>
        <v>1.0984064103718376</v>
      </c>
      <c r="AJ17" s="16">
        <f t="shared" si="3"/>
        <v>14.743455078378998</v>
      </c>
      <c r="AK17" s="16">
        <f t="shared" si="4"/>
        <v>12.288546762302051</v>
      </c>
      <c r="AL17" s="16">
        <f t="shared" si="5"/>
        <v>0</v>
      </c>
      <c r="AM17" s="16">
        <f t="shared" si="6"/>
        <v>0.26609845642887869</v>
      </c>
      <c r="AN17" s="16">
        <f t="shared" si="7"/>
        <v>10.46787311305183</v>
      </c>
      <c r="AO17" s="16">
        <f t="shared" si="8"/>
        <v>8.857277192561245</v>
      </c>
      <c r="AP17" s="16">
        <f t="shared" si="9"/>
        <v>2.2578353990976661</v>
      </c>
      <c r="AQ17" s="16">
        <f t="shared" si="10"/>
        <v>0.26909956683973069</v>
      </c>
      <c r="AR17" s="16">
        <f t="shared" si="11"/>
        <v>9.5035163010313811E-2</v>
      </c>
      <c r="AS17" s="16">
        <f t="shared" si="12"/>
        <v>99.999999999999972</v>
      </c>
      <c r="AT17" s="16">
        <f t="shared" si="13"/>
        <v>11.047403539309544</v>
      </c>
      <c r="AV17" s="1" t="s">
        <v>400</v>
      </c>
      <c r="AW17" s="69">
        <v>11.022639592383506</v>
      </c>
      <c r="AX17" s="69"/>
      <c r="AY17" s="69">
        <v>50.7332302866444</v>
      </c>
      <c r="AZ17" s="69">
        <v>302.17681229901956</v>
      </c>
      <c r="BA17" s="69"/>
      <c r="BB17" s="69">
        <v>316.33662369342215</v>
      </c>
      <c r="BC17" s="69"/>
      <c r="BD17" s="69">
        <v>56.026757562194874</v>
      </c>
      <c r="BE17" s="69"/>
      <c r="BF17" s="69"/>
      <c r="BG17" s="69"/>
      <c r="BH17" s="69">
        <v>107.14940063391776</v>
      </c>
      <c r="BI17" s="69"/>
      <c r="BJ17" s="69">
        <v>83.471873559384647</v>
      </c>
      <c r="BK17" s="69"/>
      <c r="BL17" s="69">
        <v>15.725015347341349</v>
      </c>
      <c r="BM17" s="69"/>
      <c r="BN17" s="69">
        <v>2.5598129569146932</v>
      </c>
      <c r="BP17" s="69">
        <v>79.124754839446453</v>
      </c>
      <c r="BQ17" s="69"/>
      <c r="BR17" s="69">
        <v>25.762102460691864</v>
      </c>
      <c r="BS17" s="69"/>
      <c r="BT17" s="69">
        <v>60.927021346202729</v>
      </c>
      <c r="BV17" s="9">
        <v>1.7140716261583873</v>
      </c>
      <c r="BZ17" s="9">
        <v>7.2078382381160377E-2</v>
      </c>
      <c r="CA17" s="9">
        <v>33.453288576661244</v>
      </c>
      <c r="CB17" s="9">
        <v>2.1626992668251952</v>
      </c>
      <c r="CC17" s="9">
        <v>6.0421340132772832</v>
      </c>
      <c r="CD17" s="9">
        <v>1.0585834877556057</v>
      </c>
      <c r="CE17" s="9">
        <v>5.9836898098980376</v>
      </c>
      <c r="CF17" s="9">
        <v>2.4451692016763706</v>
      </c>
      <c r="CG17" s="9">
        <v>0.98978669299297029</v>
      </c>
      <c r="CH17" s="9">
        <v>3.5310691159818024</v>
      </c>
      <c r="CI17" s="9">
        <v>0.68070033244933759</v>
      </c>
      <c r="CJ17" s="9">
        <v>4.3615633088407169</v>
      </c>
      <c r="CK17" s="9">
        <v>0.96465131174835539</v>
      </c>
      <c r="CL17" s="9">
        <v>2.6597853530432327</v>
      </c>
      <c r="CM17" s="9">
        <v>0.38853482668788003</v>
      </c>
      <c r="CN17" s="9">
        <v>2.4768760174971227</v>
      </c>
      <c r="CO17" s="9">
        <v>0.33163527449016134</v>
      </c>
      <c r="CP17" s="9">
        <v>1.6320865646588663</v>
      </c>
      <c r="CQ17" s="9">
        <v>0.10745101211849638</v>
      </c>
      <c r="CR17" s="9">
        <v>0.74157112001873371</v>
      </c>
      <c r="CS17" s="9">
        <v>0.32899375023728367</v>
      </c>
      <c r="CT17" s="9">
        <v>5.7587685064906614E-2</v>
      </c>
    </row>
    <row r="18" spans="1:98">
      <c r="A18" s="1" t="s">
        <v>271</v>
      </c>
      <c r="B18" s="1" t="s">
        <v>263</v>
      </c>
      <c r="C18" s="1" t="s">
        <v>721</v>
      </c>
      <c r="D18" s="62">
        <v>64.964782</v>
      </c>
      <c r="E18" s="62">
        <v>2.729222</v>
      </c>
      <c r="I18" s="9">
        <v>67.14</v>
      </c>
      <c r="J18" s="1" t="s">
        <v>256</v>
      </c>
      <c r="K18" s="1" t="s">
        <v>52</v>
      </c>
      <c r="L18" s="1" t="s">
        <v>864</v>
      </c>
      <c r="M18" s="78" t="s">
        <v>862</v>
      </c>
      <c r="N18" s="78"/>
      <c r="P18" s="1" t="s">
        <v>815</v>
      </c>
      <c r="Q18" s="1" t="s">
        <v>286</v>
      </c>
      <c r="R18" s="4">
        <v>49.496000000000002</v>
      </c>
      <c r="S18" s="4">
        <v>0.85499999999999998</v>
      </c>
      <c r="T18" s="4">
        <v>16.788</v>
      </c>
      <c r="U18" s="4">
        <v>10.632999999999999</v>
      </c>
      <c r="W18" s="4">
        <v>0.24</v>
      </c>
      <c r="X18" s="4">
        <v>10.529</v>
      </c>
      <c r="Y18" s="4">
        <v>9.9009999999999998</v>
      </c>
      <c r="Z18" s="4">
        <v>1.829</v>
      </c>
      <c r="AA18" s="4">
        <v>0.191</v>
      </c>
      <c r="AB18" s="4">
        <v>7.1999999999999995E-2</v>
      </c>
      <c r="AC18" s="9">
        <v>8.4402515723270373</v>
      </c>
      <c r="AD18" s="21">
        <f t="shared" si="14"/>
        <v>100.53399999999998</v>
      </c>
      <c r="AE18" s="21">
        <f t="shared" si="0"/>
        <v>9.5590669999999989</v>
      </c>
      <c r="AF18" s="23">
        <f t="shared" si="1"/>
        <v>0.66257463421583462</v>
      </c>
      <c r="AH18" s="16">
        <f t="shared" si="15"/>
        <v>49.233095271251528</v>
      </c>
      <c r="AI18" s="16">
        <f t="shared" si="2"/>
        <v>0.85045855133586667</v>
      </c>
      <c r="AJ18" s="16">
        <f t="shared" si="3"/>
        <v>16.698828257107053</v>
      </c>
      <c r="AK18" s="16">
        <f t="shared" si="4"/>
        <v>10.576521375852947</v>
      </c>
      <c r="AL18" s="16">
        <f t="shared" si="5"/>
        <v>0</v>
      </c>
      <c r="AM18" s="16">
        <f t="shared" si="6"/>
        <v>0.23872520739252398</v>
      </c>
      <c r="AN18" s="16">
        <f t="shared" si="7"/>
        <v>10.473073785982855</v>
      </c>
      <c r="AO18" s="16">
        <f t="shared" si="8"/>
        <v>9.8484094933057502</v>
      </c>
      <c r="AP18" s="16">
        <f t="shared" si="9"/>
        <v>1.8192850180038598</v>
      </c>
      <c r="AQ18" s="16">
        <f t="shared" si="10"/>
        <v>0.18998547754988368</v>
      </c>
      <c r="AR18" s="16">
        <f t="shared" si="11"/>
        <v>7.1617562217757183E-2</v>
      </c>
      <c r="AS18" s="16">
        <f t="shared" si="12"/>
        <v>100.00000000000003</v>
      </c>
      <c r="AT18" s="16">
        <f t="shared" si="13"/>
        <v>9.5082927168917983</v>
      </c>
      <c r="AV18" s="1" t="s">
        <v>400</v>
      </c>
      <c r="AW18" s="69">
        <v>6.4109108603393699</v>
      </c>
      <c r="AX18" s="69"/>
      <c r="AY18" s="69">
        <v>46.199736676345552</v>
      </c>
      <c r="AZ18" s="69">
        <v>254.46943376961909</v>
      </c>
      <c r="BA18" s="69"/>
      <c r="BB18" s="69">
        <v>305.13951078289989</v>
      </c>
      <c r="BC18" s="69"/>
      <c r="BD18" s="69">
        <v>51.035722652273044</v>
      </c>
      <c r="BE18" s="69"/>
      <c r="BF18" s="69"/>
      <c r="BG18" s="69"/>
      <c r="BH18" s="69">
        <v>141.38604649392113</v>
      </c>
      <c r="BI18" s="69"/>
      <c r="BJ18" s="69">
        <v>68.800346647494905</v>
      </c>
      <c r="BK18" s="69"/>
      <c r="BL18" s="69">
        <v>15.829705943193495</v>
      </c>
      <c r="BM18" s="69"/>
      <c r="BN18" s="69">
        <v>1.7382278986848019</v>
      </c>
      <c r="BP18" s="69">
        <v>73.271206726991863</v>
      </c>
      <c r="BQ18" s="69"/>
      <c r="BR18" s="69">
        <v>24.67306757674902</v>
      </c>
      <c r="BS18" s="69"/>
      <c r="BT18" s="69">
        <v>43.644964706563186</v>
      </c>
      <c r="BV18" s="9">
        <v>0.59109114615865532</v>
      </c>
      <c r="BZ18" s="9">
        <v>5.4033255935019148E-2</v>
      </c>
      <c r="CA18" s="9">
        <v>15.353672126559058</v>
      </c>
      <c r="CB18" s="9">
        <v>1.1641971653590029</v>
      </c>
      <c r="CC18" s="9">
        <v>3.4631444435919696</v>
      </c>
      <c r="CD18" s="9">
        <v>0.69246332204182115</v>
      </c>
      <c r="CE18" s="9">
        <v>4.1469348814156586</v>
      </c>
      <c r="CF18" s="9">
        <v>1.860406565585214</v>
      </c>
      <c r="CG18" s="9">
        <v>0.81250266017830874</v>
      </c>
      <c r="CH18" s="9">
        <v>3.0125768883186526</v>
      </c>
      <c r="CI18" s="9">
        <v>0.58646177254112408</v>
      </c>
      <c r="CJ18" s="9">
        <v>3.8465622627586877</v>
      </c>
      <c r="CK18" s="9">
        <v>0.8865396808760615</v>
      </c>
      <c r="CL18" s="9">
        <v>2.4359183249515315</v>
      </c>
      <c r="CM18" s="9">
        <v>0.3571384631518012</v>
      </c>
      <c r="CN18" s="9">
        <v>2.4143875130170005</v>
      </c>
      <c r="CO18" s="9">
        <v>0.31513687925803013</v>
      </c>
      <c r="CP18" s="9">
        <v>1.2406495043523069</v>
      </c>
      <c r="CQ18" s="9">
        <v>3.7597930175297077E-2</v>
      </c>
      <c r="CR18" s="9">
        <v>0.39590433190288893</v>
      </c>
      <c r="CS18" s="9">
        <v>0.11724390781032178</v>
      </c>
      <c r="CT18" s="9">
        <v>2.8668127614235758E-2</v>
      </c>
    </row>
    <row r="19" spans="1:98">
      <c r="A19" s="1" t="s">
        <v>271</v>
      </c>
      <c r="B19" s="1" t="s">
        <v>263</v>
      </c>
      <c r="C19" s="1" t="s">
        <v>722</v>
      </c>
      <c r="D19" s="62">
        <v>64.964782</v>
      </c>
      <c r="E19" s="62">
        <v>2.729222</v>
      </c>
      <c r="I19" s="9">
        <v>76.510000000000005</v>
      </c>
      <c r="J19" s="1" t="s">
        <v>256</v>
      </c>
      <c r="K19" s="1" t="s">
        <v>52</v>
      </c>
      <c r="L19" s="1" t="s">
        <v>864</v>
      </c>
      <c r="M19" s="78" t="s">
        <v>862</v>
      </c>
      <c r="N19" s="78"/>
      <c r="P19" s="1" t="s">
        <v>815</v>
      </c>
      <c r="Q19" s="1" t="s">
        <v>286</v>
      </c>
      <c r="R19" s="4">
        <v>50.249000000000002</v>
      </c>
      <c r="S19" s="4">
        <v>1.109</v>
      </c>
      <c r="T19" s="4">
        <v>13.807</v>
      </c>
      <c r="U19" s="4">
        <v>12.771000000000001</v>
      </c>
      <c r="W19" s="4">
        <v>0.26800000000000002</v>
      </c>
      <c r="X19" s="4">
        <v>9.6120000000000001</v>
      </c>
      <c r="Y19" s="4">
        <v>10.539</v>
      </c>
      <c r="Z19" s="4">
        <v>2.1320000000000001</v>
      </c>
      <c r="AA19" s="4">
        <v>0.23400000000000001</v>
      </c>
      <c r="AB19" s="4">
        <v>8.2000000000000003E-2</v>
      </c>
      <c r="AC19" s="9">
        <v>7.0064208698461723</v>
      </c>
      <c r="AD19" s="21">
        <f t="shared" si="14"/>
        <v>100.803</v>
      </c>
      <c r="AE19" s="21">
        <f t="shared" si="0"/>
        <v>11.481129000000001</v>
      </c>
      <c r="AF19" s="23">
        <f t="shared" si="1"/>
        <v>0.59879654613132249</v>
      </c>
      <c r="AH19" s="16">
        <f t="shared" si="15"/>
        <v>49.848714819995443</v>
      </c>
      <c r="AI19" s="16">
        <f t="shared" si="2"/>
        <v>1.1001656696725297</v>
      </c>
      <c r="AJ19" s="16">
        <f t="shared" si="3"/>
        <v>13.697012985724632</v>
      </c>
      <c r="AK19" s="16">
        <f t="shared" si="4"/>
        <v>12.669265795660845</v>
      </c>
      <c r="AL19" s="16">
        <f t="shared" si="5"/>
        <v>0</v>
      </c>
      <c r="AM19" s="16">
        <f t="shared" si="6"/>
        <v>0.26586510322113432</v>
      </c>
      <c r="AN19" s="16">
        <f t="shared" si="7"/>
        <v>9.5354304931400851</v>
      </c>
      <c r="AO19" s="16">
        <f t="shared" si="8"/>
        <v>10.455045980774381</v>
      </c>
      <c r="AP19" s="16">
        <f t="shared" si="9"/>
        <v>2.115016418162158</v>
      </c>
      <c r="AQ19" s="16">
        <f t="shared" si="10"/>
        <v>0.232135948334871</v>
      </c>
      <c r="AR19" s="16">
        <f t="shared" si="11"/>
        <v>8.1346785313929165E-2</v>
      </c>
      <c r="AS19" s="16">
        <f t="shared" si="12"/>
        <v>100</v>
      </c>
      <c r="AT19" s="16">
        <f t="shared" si="13"/>
        <v>11.389669950299099</v>
      </c>
      <c r="AV19" s="1" t="s">
        <v>400</v>
      </c>
      <c r="AW19" s="69">
        <v>9.2021987350962267</v>
      </c>
      <c r="AX19" s="69"/>
      <c r="AY19" s="69">
        <v>58.022484355995516</v>
      </c>
      <c r="AZ19" s="69">
        <v>355.90843287258969</v>
      </c>
      <c r="BA19" s="69"/>
      <c r="BB19" s="69">
        <v>340.56882934843691</v>
      </c>
      <c r="BC19" s="69"/>
      <c r="BD19" s="69">
        <v>54.107150397699243</v>
      </c>
      <c r="BE19" s="69"/>
      <c r="BF19" s="69"/>
      <c r="BG19" s="69"/>
      <c r="BH19" s="69">
        <v>93.980416429167875</v>
      </c>
      <c r="BI19" s="69"/>
      <c r="BJ19" s="69">
        <v>82.312793716446819</v>
      </c>
      <c r="BK19" s="69"/>
      <c r="BL19" s="69">
        <v>15.794061493921459</v>
      </c>
      <c r="BM19" s="69"/>
      <c r="BN19" s="69">
        <v>2.9781362655796055</v>
      </c>
      <c r="BP19" s="69">
        <v>63.896842622805373</v>
      </c>
      <c r="BQ19" s="69"/>
      <c r="BR19" s="69">
        <v>32.66258953215317</v>
      </c>
      <c r="BS19" s="69"/>
      <c r="BT19" s="69">
        <v>55.826496971472082</v>
      </c>
      <c r="BV19" s="9">
        <v>0.91847716264192636</v>
      </c>
      <c r="BZ19" s="9">
        <v>0.15268678011715098</v>
      </c>
      <c r="CA19" s="9">
        <v>10.949410724875099</v>
      </c>
      <c r="CB19" s="9">
        <v>1.5244063369352565</v>
      </c>
      <c r="CC19" s="9">
        <v>4.7764241022054081</v>
      </c>
      <c r="CD19" s="9">
        <v>0.88702646676750252</v>
      </c>
      <c r="CE19" s="9">
        <v>5.4705797219784946</v>
      </c>
      <c r="CF19" s="9">
        <v>2.4126557470955254</v>
      </c>
      <c r="CG19" s="9">
        <v>1.0497999917176302</v>
      </c>
      <c r="CH19" s="9">
        <v>3.8024087416788186</v>
      </c>
      <c r="CI19" s="9">
        <v>0.77544857828803149</v>
      </c>
      <c r="CJ19" s="9">
        <v>5.2197603254109657</v>
      </c>
      <c r="CK19" s="9">
        <v>1.2281546594556771</v>
      </c>
      <c r="CL19" s="9">
        <v>3.1588511082436708</v>
      </c>
      <c r="CM19" s="9">
        <v>0.50118760098626602</v>
      </c>
      <c r="CN19" s="9">
        <v>3.3296760148689399</v>
      </c>
      <c r="CO19" s="9">
        <v>0.44733134741400044</v>
      </c>
      <c r="CP19" s="9">
        <v>1.6146276194955329</v>
      </c>
      <c r="CQ19" s="9">
        <v>4.8791125462878983E-2</v>
      </c>
      <c r="CR19" s="9">
        <v>0.74366487108543577</v>
      </c>
      <c r="CS19" s="9">
        <v>0.19994310199614451</v>
      </c>
      <c r="CT19" s="9">
        <v>7.8009877822625126E-2</v>
      </c>
    </row>
    <row r="20" spans="1:98">
      <c r="A20" s="1" t="s">
        <v>271</v>
      </c>
      <c r="B20" s="1" t="s">
        <v>263</v>
      </c>
      <c r="C20" s="1" t="s">
        <v>723</v>
      </c>
      <c r="D20" s="62">
        <v>64.964782</v>
      </c>
      <c r="E20" s="62">
        <v>2.729222</v>
      </c>
      <c r="I20" s="9">
        <v>89.64</v>
      </c>
      <c r="J20" s="1" t="s">
        <v>256</v>
      </c>
      <c r="K20" s="1" t="s">
        <v>52</v>
      </c>
      <c r="L20" s="1" t="s">
        <v>864</v>
      </c>
      <c r="M20" s="78" t="s">
        <v>862</v>
      </c>
      <c r="N20" s="78"/>
      <c r="P20" s="1" t="s">
        <v>815</v>
      </c>
      <c r="Q20" s="1" t="s">
        <v>286</v>
      </c>
      <c r="R20" s="4">
        <v>49.631</v>
      </c>
      <c r="S20" s="4">
        <v>0.97599999999999998</v>
      </c>
      <c r="T20" s="4">
        <v>15.066000000000001</v>
      </c>
      <c r="U20" s="4">
        <v>12.057</v>
      </c>
      <c r="W20" s="4">
        <v>0.26</v>
      </c>
      <c r="X20" s="4">
        <v>10.025</v>
      </c>
      <c r="Y20" s="4">
        <v>10.509</v>
      </c>
      <c r="Z20" s="4">
        <v>2.1219999999999999</v>
      </c>
      <c r="AA20" s="4">
        <v>0.13700000000000001</v>
      </c>
      <c r="AB20" s="4">
        <v>8.1000000000000003E-2</v>
      </c>
      <c r="AC20" s="9">
        <v>5.0981219666595985</v>
      </c>
      <c r="AD20" s="21">
        <f t="shared" si="14"/>
        <v>100.86400000000002</v>
      </c>
      <c r="AE20" s="21">
        <f t="shared" si="0"/>
        <v>10.839243</v>
      </c>
      <c r="AF20" s="23">
        <f t="shared" si="1"/>
        <v>0.62247212621009718</v>
      </c>
      <c r="AH20" s="16">
        <f t="shared" si="15"/>
        <v>49.205861357868017</v>
      </c>
      <c r="AI20" s="16">
        <f t="shared" si="2"/>
        <v>0.96763959390862919</v>
      </c>
      <c r="AJ20" s="16">
        <f t="shared" si="3"/>
        <v>14.936944796954313</v>
      </c>
      <c r="AK20" s="16">
        <f t="shared" si="4"/>
        <v>11.953719860406089</v>
      </c>
      <c r="AL20" s="16">
        <f t="shared" si="5"/>
        <v>0</v>
      </c>
      <c r="AM20" s="16">
        <f t="shared" si="6"/>
        <v>0.25777284263959388</v>
      </c>
      <c r="AN20" s="16">
        <f t="shared" si="7"/>
        <v>9.9391259517766475</v>
      </c>
      <c r="AO20" s="16">
        <f t="shared" si="8"/>
        <v>10.418980012690355</v>
      </c>
      <c r="AP20" s="16">
        <f t="shared" si="9"/>
        <v>2.1038229695431467</v>
      </c>
      <c r="AQ20" s="16">
        <f t="shared" si="10"/>
        <v>0.13582645939086294</v>
      </c>
      <c r="AR20" s="16">
        <f t="shared" si="11"/>
        <v>8.030615482233501E-2</v>
      </c>
      <c r="AS20" s="16">
        <f t="shared" si="12"/>
        <v>99.999999999999986</v>
      </c>
      <c r="AT20" s="16">
        <f t="shared" si="13"/>
        <v>10.746394154505074</v>
      </c>
      <c r="AV20" s="1" t="s">
        <v>400</v>
      </c>
      <c r="AW20" s="69">
        <v>0.1012276003843931</v>
      </c>
      <c r="AX20" s="69"/>
      <c r="AY20" s="69">
        <v>42.624255459895579</v>
      </c>
      <c r="AZ20" s="69">
        <v>270.88382873705115</v>
      </c>
      <c r="BA20" s="69"/>
      <c r="BB20" s="69">
        <v>263.76675917402105</v>
      </c>
      <c r="BC20" s="69"/>
      <c r="BD20" s="69">
        <v>51.191037632351531</v>
      </c>
      <c r="BE20" s="69"/>
      <c r="BF20" s="69"/>
      <c r="BG20" s="69"/>
      <c r="BH20" s="69">
        <v>54.665787318276166</v>
      </c>
      <c r="BI20" s="69"/>
      <c r="BJ20" s="69">
        <v>73.761249336577308</v>
      </c>
      <c r="BK20" s="69"/>
      <c r="BL20" s="69">
        <v>14.754167175596411</v>
      </c>
      <c r="BM20" s="69"/>
      <c r="BN20" s="69">
        <v>0.92110951267346797</v>
      </c>
      <c r="BP20" s="69">
        <v>78.302738885590472</v>
      </c>
      <c r="BQ20" s="69"/>
      <c r="BR20" s="69">
        <v>26.229199568223905</v>
      </c>
      <c r="BS20" s="69"/>
      <c r="BT20" s="69">
        <v>51.233243237151051</v>
      </c>
      <c r="BV20" s="9">
        <v>1.5552867011444595</v>
      </c>
      <c r="BZ20" s="9">
        <v>4.3282916057245643E-2</v>
      </c>
      <c r="CA20" s="9">
        <v>27.383598867405141</v>
      </c>
      <c r="CB20" s="9">
        <v>2.0338778179140347</v>
      </c>
      <c r="CC20" s="9">
        <v>5.1474578469323937</v>
      </c>
      <c r="CD20" s="9">
        <v>0.91119791693747976</v>
      </c>
      <c r="CE20" s="9">
        <v>5.2808837580075352</v>
      </c>
      <c r="CF20" s="9">
        <v>2.0651027546589718</v>
      </c>
      <c r="CG20" s="9">
        <v>0.9214712048338215</v>
      </c>
      <c r="CH20" s="9">
        <v>3.1255371777128076</v>
      </c>
      <c r="CI20" s="9">
        <v>0.6417098800519182</v>
      </c>
      <c r="CJ20" s="9">
        <v>4.2892874643710979</v>
      </c>
      <c r="CK20" s="9">
        <v>0.95635093644509317</v>
      </c>
      <c r="CL20" s="9">
        <v>2.7552860817390665</v>
      </c>
      <c r="CM20" s="9">
        <v>0.39075367591563159</v>
      </c>
      <c r="CN20" s="9">
        <v>2.5289894710201075</v>
      </c>
      <c r="CO20" s="9">
        <v>0.35421680912234293</v>
      </c>
      <c r="CP20" s="9">
        <v>1.3727706934411072</v>
      </c>
      <c r="CQ20" s="9">
        <v>8.5642671970318426E-2</v>
      </c>
      <c r="CR20" s="9">
        <v>0.53979451633254072</v>
      </c>
      <c r="CS20" s="9">
        <v>0.30284738639003089</v>
      </c>
      <c r="CT20" s="9">
        <v>5.3207718517955707E-2</v>
      </c>
    </row>
    <row r="21" spans="1:98">
      <c r="A21" s="1" t="s">
        <v>271</v>
      </c>
      <c r="B21" s="1" t="s">
        <v>263</v>
      </c>
      <c r="C21" s="1" t="s">
        <v>724</v>
      </c>
      <c r="D21" s="62">
        <v>64.964782</v>
      </c>
      <c r="E21" s="62">
        <v>2.729222</v>
      </c>
      <c r="I21" s="9">
        <v>98.21</v>
      </c>
      <c r="J21" s="1" t="s">
        <v>256</v>
      </c>
      <c r="K21" s="1" t="s">
        <v>52</v>
      </c>
      <c r="L21" s="1" t="s">
        <v>864</v>
      </c>
      <c r="M21" s="78" t="s">
        <v>862</v>
      </c>
      <c r="N21" s="78"/>
      <c r="P21" s="1" t="s">
        <v>815</v>
      </c>
      <c r="Q21" s="1" t="s">
        <v>286</v>
      </c>
      <c r="R21" s="4">
        <v>48.19</v>
      </c>
      <c r="S21" s="4">
        <v>0.755</v>
      </c>
      <c r="T21" s="4">
        <v>12.721</v>
      </c>
      <c r="U21" s="4">
        <v>11.811</v>
      </c>
      <c r="W21" s="4">
        <v>0.32400000000000001</v>
      </c>
      <c r="X21" s="4">
        <v>14.552</v>
      </c>
      <c r="Y21" s="4">
        <v>7.6029999999999998</v>
      </c>
      <c r="Z21" s="4">
        <v>1.6930000000000001</v>
      </c>
      <c r="AA21" s="4">
        <v>0.13</v>
      </c>
      <c r="AB21" s="4">
        <v>6.8000000000000005E-2</v>
      </c>
      <c r="AC21" s="9">
        <v>8.8933185111357922</v>
      </c>
      <c r="AD21" s="21">
        <f t="shared" si="14"/>
        <v>97.846999999999994</v>
      </c>
      <c r="AE21" s="21">
        <f t="shared" si="0"/>
        <v>10.618088999999999</v>
      </c>
      <c r="AF21" s="23">
        <f t="shared" si="1"/>
        <v>0.70957380186251462</v>
      </c>
      <c r="AH21" s="16">
        <f t="shared" si="15"/>
        <v>49.250360256318544</v>
      </c>
      <c r="AI21" s="16">
        <f t="shared" si="2"/>
        <v>0.7716128241029363</v>
      </c>
      <c r="AJ21" s="16">
        <f t="shared" si="3"/>
        <v>13.000909583329074</v>
      </c>
      <c r="AK21" s="16">
        <f t="shared" si="4"/>
        <v>12.070886179443416</v>
      </c>
      <c r="AL21" s="16">
        <f t="shared" si="5"/>
        <v>0</v>
      </c>
      <c r="AM21" s="16">
        <f t="shared" si="6"/>
        <v>0.33112921193291567</v>
      </c>
      <c r="AN21" s="16">
        <f t="shared" si="7"/>
        <v>14.872198432246263</v>
      </c>
      <c r="AO21" s="16">
        <f t="shared" si="8"/>
        <v>7.7702944392776478</v>
      </c>
      <c r="AP21" s="16">
        <f t="shared" si="9"/>
        <v>1.730252332723538</v>
      </c>
      <c r="AQ21" s="16">
        <f t="shared" si="10"/>
        <v>0.13286048626937974</v>
      </c>
      <c r="AR21" s="16">
        <f t="shared" si="11"/>
        <v>6.9496254356290948E-2</v>
      </c>
      <c r="AS21" s="16">
        <f t="shared" si="12"/>
        <v>100.00000000000001</v>
      </c>
      <c r="AT21" s="16">
        <f t="shared" si="13"/>
        <v>10.851726675319632</v>
      </c>
      <c r="AV21" s="1" t="s">
        <v>400</v>
      </c>
      <c r="AW21" s="69">
        <v>15.012929843715538</v>
      </c>
      <c r="AX21" s="69"/>
      <c r="AY21" s="69">
        <v>46.757513975741922</v>
      </c>
      <c r="AZ21" s="69">
        <v>242.65917514755765</v>
      </c>
      <c r="BA21" s="69"/>
      <c r="BB21" s="69">
        <v>504.81696210352203</v>
      </c>
      <c r="BC21" s="69"/>
      <c r="BD21" s="69">
        <v>64.626296936734889</v>
      </c>
      <c r="BE21" s="69"/>
      <c r="BF21" s="69"/>
      <c r="BG21" s="69"/>
      <c r="BH21" s="69">
        <v>95.076082203695378</v>
      </c>
      <c r="BI21" s="69"/>
      <c r="BJ21" s="69">
        <v>75.438382491743241</v>
      </c>
      <c r="BK21" s="69"/>
      <c r="BL21" s="69">
        <v>14.274204725807545</v>
      </c>
      <c r="BM21" s="69"/>
      <c r="BN21" s="69">
        <v>0.81483017407852154</v>
      </c>
      <c r="BP21" s="69">
        <v>60.715569476514318</v>
      </c>
      <c r="BQ21" s="69"/>
      <c r="BR21" s="69">
        <v>24.510466041456745</v>
      </c>
      <c r="BS21" s="69"/>
      <c r="BT21" s="69">
        <v>41.304581240882051</v>
      </c>
      <c r="BV21" s="9">
        <v>1.2946704901628465</v>
      </c>
      <c r="BZ21" s="9">
        <v>8.1696910620012192E-2</v>
      </c>
      <c r="CA21" s="9">
        <v>20.459337418988724</v>
      </c>
      <c r="CB21" s="9">
        <v>1.4612818817712117</v>
      </c>
      <c r="CC21" s="9">
        <v>3.7471002597235592</v>
      </c>
      <c r="CD21" s="9">
        <v>0.66873271638290332</v>
      </c>
      <c r="CE21" s="9">
        <v>4.1045752702117717</v>
      </c>
      <c r="CF21" s="9">
        <v>1.815163211816303</v>
      </c>
      <c r="CG21" s="9">
        <v>0.75617994437192149</v>
      </c>
      <c r="CH21" s="9">
        <v>2.728603489707742</v>
      </c>
      <c r="CI21" s="9">
        <v>0.57849507614926299</v>
      </c>
      <c r="CJ21" s="9">
        <v>3.693006672843012</v>
      </c>
      <c r="CK21" s="9">
        <v>0.86182344059563343</v>
      </c>
      <c r="CL21" s="9">
        <v>2.5141263069731465</v>
      </c>
      <c r="CM21" s="9">
        <v>0.35739907855062381</v>
      </c>
      <c r="CN21" s="9">
        <v>2.3244901961466957</v>
      </c>
      <c r="CO21" s="9">
        <v>0.33898184799682424</v>
      </c>
      <c r="CP21" s="9">
        <v>1.1251086028897239</v>
      </c>
      <c r="CQ21" s="9">
        <v>6.3048020286020592E-2</v>
      </c>
      <c r="CR21" s="9">
        <v>0.35055784049848726</v>
      </c>
      <c r="CS21" s="9">
        <v>0.21225300321155319</v>
      </c>
      <c r="CT21" s="9">
        <v>3.4579833022539967E-2</v>
      </c>
    </row>
    <row r="22" spans="1:98">
      <c r="A22" s="1" t="s">
        <v>271</v>
      </c>
      <c r="B22" s="1" t="s">
        <v>263</v>
      </c>
      <c r="C22" s="1" t="s">
        <v>725</v>
      </c>
      <c r="D22" s="62">
        <v>64.964782</v>
      </c>
      <c r="E22" s="62">
        <v>2.729222</v>
      </c>
      <c r="I22" s="9">
        <v>101.75</v>
      </c>
      <c r="J22" s="1" t="s">
        <v>256</v>
      </c>
      <c r="K22" s="1" t="s">
        <v>52</v>
      </c>
      <c r="L22" s="1" t="s">
        <v>864</v>
      </c>
      <c r="M22" s="78" t="s">
        <v>862</v>
      </c>
      <c r="N22" s="78"/>
      <c r="P22" s="1" t="s">
        <v>815</v>
      </c>
      <c r="Q22" s="1" t="s">
        <v>286</v>
      </c>
      <c r="R22" s="4">
        <v>50.703000000000003</v>
      </c>
      <c r="S22" s="4">
        <v>1.2929999999999999</v>
      </c>
      <c r="T22" s="4">
        <v>12.888999999999999</v>
      </c>
      <c r="U22" s="4">
        <v>14.169</v>
      </c>
      <c r="W22" s="4">
        <v>0.316</v>
      </c>
      <c r="X22" s="4">
        <v>8.2750000000000004</v>
      </c>
      <c r="Y22" s="4">
        <v>10.388999999999999</v>
      </c>
      <c r="Z22" s="4">
        <v>2.2799999999999998</v>
      </c>
      <c r="AA22" s="4">
        <v>0.16700000000000001</v>
      </c>
      <c r="AB22" s="4">
        <v>0.10299999999999999</v>
      </c>
      <c r="AC22" s="9">
        <v>3.7637047946325817</v>
      </c>
      <c r="AD22" s="21">
        <f t="shared" si="14"/>
        <v>100.584</v>
      </c>
      <c r="AE22" s="21">
        <f t="shared" si="0"/>
        <v>12.737931000000001</v>
      </c>
      <c r="AF22" s="23">
        <f t="shared" si="1"/>
        <v>0.53663431322099386</v>
      </c>
      <c r="AH22" s="16">
        <f t="shared" si="15"/>
        <v>50.408613696015273</v>
      </c>
      <c r="AI22" s="16">
        <f t="shared" si="2"/>
        <v>1.2854927225005963</v>
      </c>
      <c r="AJ22" s="16">
        <f t="shared" si="3"/>
        <v>12.814165274795194</v>
      </c>
      <c r="AK22" s="16">
        <f t="shared" si="4"/>
        <v>14.086733476497256</v>
      </c>
      <c r="AL22" s="16">
        <f t="shared" si="5"/>
        <v>0</v>
      </c>
      <c r="AM22" s="16">
        <f t="shared" si="6"/>
        <v>0.31416527479519607</v>
      </c>
      <c r="AN22" s="16">
        <f t="shared" si="7"/>
        <v>8.2269545852223018</v>
      </c>
      <c r="AO22" s="16">
        <f t="shared" si="8"/>
        <v>10.328680505845858</v>
      </c>
      <c r="AP22" s="16">
        <f t="shared" si="9"/>
        <v>2.2667621092817938</v>
      </c>
      <c r="AQ22" s="16">
        <f t="shared" si="10"/>
        <v>0.16603038256581562</v>
      </c>
      <c r="AR22" s="16">
        <f t="shared" si="11"/>
        <v>0.10240197248071263</v>
      </c>
      <c r="AS22" s="16">
        <f t="shared" si="12"/>
        <v>100</v>
      </c>
      <c r="AT22" s="16">
        <f t="shared" si="13"/>
        <v>12.663973395371034</v>
      </c>
      <c r="AV22" s="1" t="s">
        <v>400</v>
      </c>
      <c r="AW22" s="69">
        <v>8.832856315176274</v>
      </c>
      <c r="AX22" s="69"/>
      <c r="AY22" s="69">
        <v>60.994262902075889</v>
      </c>
      <c r="AZ22" s="69">
        <v>372.02043763354436</v>
      </c>
      <c r="BA22" s="69"/>
      <c r="BB22" s="69">
        <v>197.5090664738662</v>
      </c>
      <c r="BC22" s="69"/>
      <c r="BD22" s="69">
        <v>56.309743422833286</v>
      </c>
      <c r="BE22" s="69"/>
      <c r="BF22" s="69"/>
      <c r="BG22" s="69"/>
      <c r="BH22" s="69">
        <v>76.261239152093296</v>
      </c>
      <c r="BI22" s="69"/>
      <c r="BJ22" s="69">
        <v>99.833162955309007</v>
      </c>
      <c r="BK22" s="69"/>
      <c r="BL22" s="69">
        <v>16.944588779420027</v>
      </c>
      <c r="BM22" s="69"/>
      <c r="BN22" s="69">
        <v>2.2232283425157213</v>
      </c>
      <c r="BP22" s="69">
        <v>74.869744972961911</v>
      </c>
      <c r="BQ22" s="69"/>
      <c r="BR22" s="69">
        <v>38.050513350223945</v>
      </c>
      <c r="BS22" s="69"/>
      <c r="BT22" s="69">
        <v>77.61535406678037</v>
      </c>
      <c r="BV22" s="9">
        <v>1.574145487813233</v>
      </c>
      <c r="BZ22" s="9">
        <v>0.28772669915491711</v>
      </c>
      <c r="CA22" s="9">
        <v>25.64672165179346</v>
      </c>
      <c r="CB22" s="9">
        <v>3.1655225486576133</v>
      </c>
      <c r="CC22" s="9">
        <v>8.5845862293001396</v>
      </c>
      <c r="CD22" s="9">
        <v>1.4651558701657161</v>
      </c>
      <c r="CE22" s="9">
        <v>7.6895674164974199</v>
      </c>
      <c r="CF22" s="9">
        <v>3.0389669936547827</v>
      </c>
      <c r="CG22" s="9">
        <v>1.2871447680868018</v>
      </c>
      <c r="CH22" s="9">
        <v>4.7463510688388713</v>
      </c>
      <c r="CI22" s="9">
        <v>0.95448968044342641</v>
      </c>
      <c r="CJ22" s="9">
        <v>6.3165442295266034</v>
      </c>
      <c r="CK22" s="9">
        <v>1.4549211989432069</v>
      </c>
      <c r="CL22" s="9">
        <v>3.8163623446421449</v>
      </c>
      <c r="CM22" s="9">
        <v>0.5871463397760075</v>
      </c>
      <c r="CN22" s="9">
        <v>3.8052006451985529</v>
      </c>
      <c r="CO22" s="9">
        <v>0.52866048430862878</v>
      </c>
      <c r="CP22" s="9">
        <v>2.206108248952197</v>
      </c>
      <c r="CQ22" s="9">
        <v>0.10336423416182218</v>
      </c>
      <c r="CR22" s="9">
        <v>1.7405847765731499</v>
      </c>
      <c r="CS22" s="9">
        <v>0.8153174788668498</v>
      </c>
      <c r="CT22" s="9">
        <v>0.11883858571583257</v>
      </c>
    </row>
    <row r="23" spans="1:98">
      <c r="A23" s="1" t="s">
        <v>271</v>
      </c>
      <c r="B23" s="1" t="s">
        <v>263</v>
      </c>
      <c r="C23" s="1" t="s">
        <v>726</v>
      </c>
      <c r="D23" s="62">
        <v>64.964782</v>
      </c>
      <c r="E23" s="62">
        <v>2.729222</v>
      </c>
      <c r="I23" s="9">
        <v>111.46</v>
      </c>
      <c r="J23" s="1" t="s">
        <v>256</v>
      </c>
      <c r="K23" s="1" t="s">
        <v>52</v>
      </c>
      <c r="L23" s="1" t="s">
        <v>864</v>
      </c>
      <c r="M23" s="78" t="s">
        <v>862</v>
      </c>
      <c r="N23" s="78"/>
      <c r="P23" s="1" t="s">
        <v>815</v>
      </c>
      <c r="Q23" s="1" t="s">
        <v>286</v>
      </c>
      <c r="R23" s="4">
        <v>51.348999999999997</v>
      </c>
      <c r="S23" s="4">
        <v>1.482</v>
      </c>
      <c r="T23" s="4">
        <v>11.343999999999999</v>
      </c>
      <c r="U23" s="4">
        <v>15.385999999999999</v>
      </c>
      <c r="W23" s="4">
        <v>0.42299999999999999</v>
      </c>
      <c r="X23" s="4">
        <v>7.8860000000000001</v>
      </c>
      <c r="Y23" s="4">
        <v>7.7350000000000003</v>
      </c>
      <c r="Z23" s="4">
        <v>2.1</v>
      </c>
      <c r="AA23" s="4">
        <v>0.22800000000000001</v>
      </c>
      <c r="AB23" s="4">
        <v>0.187</v>
      </c>
      <c r="AC23" s="9">
        <v>5.9396174629042173</v>
      </c>
      <c r="AD23" s="21">
        <f t="shared" si="14"/>
        <v>98.119999999999976</v>
      </c>
      <c r="AE23" s="21">
        <f t="shared" si="0"/>
        <v>13.832013999999999</v>
      </c>
      <c r="AF23" s="23">
        <f t="shared" si="1"/>
        <v>0.50406213755117357</v>
      </c>
      <c r="AH23" s="16">
        <f t="shared" si="15"/>
        <v>52.332857725234419</v>
      </c>
      <c r="AI23" s="16">
        <f t="shared" si="2"/>
        <v>1.5103954341622505</v>
      </c>
      <c r="AJ23" s="16">
        <f t="shared" si="3"/>
        <v>11.561353444761519</v>
      </c>
      <c r="AK23" s="16">
        <f t="shared" si="4"/>
        <v>15.6807990216062</v>
      </c>
      <c r="AL23" s="16">
        <f t="shared" si="5"/>
        <v>0</v>
      </c>
      <c r="AM23" s="16">
        <f t="shared" si="6"/>
        <v>0.43110476966979216</v>
      </c>
      <c r="AN23" s="16">
        <f t="shared" si="7"/>
        <v>8.0370974317162673</v>
      </c>
      <c r="AO23" s="16">
        <f t="shared" si="8"/>
        <v>7.8832042397064841</v>
      </c>
      <c r="AP23" s="16">
        <f t="shared" si="9"/>
        <v>2.1402364451691813</v>
      </c>
      <c r="AQ23" s="16">
        <f t="shared" si="10"/>
        <v>0.23236852833265395</v>
      </c>
      <c r="AR23" s="16">
        <f t="shared" si="11"/>
        <v>0.19058295964125566</v>
      </c>
      <c r="AS23" s="16">
        <f t="shared" si="12"/>
        <v>100.00000000000003</v>
      </c>
      <c r="AT23" s="16">
        <f t="shared" si="13"/>
        <v>14.097038320423975</v>
      </c>
      <c r="AV23" s="1" t="s">
        <v>400</v>
      </c>
      <c r="AW23" s="69">
        <v>23.333251217540507</v>
      </c>
      <c r="AX23" s="69"/>
      <c r="AY23" s="69">
        <v>56.279892742353624</v>
      </c>
      <c r="AZ23" s="69">
        <v>400.84927969073084</v>
      </c>
      <c r="BA23" s="69"/>
      <c r="BB23" s="69">
        <v>44.060292966588435</v>
      </c>
      <c r="BC23" s="69"/>
      <c r="BD23" s="69">
        <v>56.110213516177666</v>
      </c>
      <c r="BE23" s="69"/>
      <c r="BF23" s="69"/>
      <c r="BG23" s="69"/>
      <c r="BH23" s="69">
        <v>96.136055911080703</v>
      </c>
      <c r="BI23" s="69"/>
      <c r="BJ23" s="69">
        <v>101.10542833269538</v>
      </c>
      <c r="BK23" s="69"/>
      <c r="BL23" s="69">
        <v>19.689794880054254</v>
      </c>
      <c r="BM23" s="69"/>
      <c r="BN23" s="69">
        <v>2.2069640330868832</v>
      </c>
      <c r="BP23" s="69">
        <v>75.962091484083416</v>
      </c>
      <c r="BQ23" s="69"/>
      <c r="BR23" s="69">
        <v>46.52314196226714</v>
      </c>
      <c r="BS23" s="69"/>
      <c r="BT23" s="69">
        <v>102.83720592613254</v>
      </c>
      <c r="BV23" s="9">
        <v>2.7128720946006109</v>
      </c>
      <c r="BZ23" s="9">
        <v>0.21317270114333384</v>
      </c>
      <c r="CA23" s="9">
        <v>36.580090070252794</v>
      </c>
      <c r="CB23" s="9">
        <v>5.976297220542591</v>
      </c>
      <c r="CC23" s="9">
        <v>14.601259804272638</v>
      </c>
      <c r="CD23" s="9">
        <v>2.2967457862539216</v>
      </c>
      <c r="CE23" s="9">
        <v>11.874589068621262</v>
      </c>
      <c r="CF23" s="9">
        <v>3.8945465777838222</v>
      </c>
      <c r="CG23" s="9">
        <v>1.5019187222153185</v>
      </c>
      <c r="CH23" s="9">
        <v>6.0790397139024854</v>
      </c>
      <c r="CI23" s="9">
        <v>1.1838747665593536</v>
      </c>
      <c r="CJ23" s="9">
        <v>7.3825974714488423</v>
      </c>
      <c r="CK23" s="9">
        <v>1.656548070591485</v>
      </c>
      <c r="CL23" s="9">
        <v>4.6382581524318676</v>
      </c>
      <c r="CM23" s="9">
        <v>0.67436282100019151</v>
      </c>
      <c r="CN23" s="9">
        <v>4.336433935942722</v>
      </c>
      <c r="CO23" s="9">
        <v>0.63448425512083972</v>
      </c>
      <c r="CP23" s="9">
        <v>2.6805935400798133</v>
      </c>
      <c r="CQ23" s="9">
        <v>0.17507408576811048</v>
      </c>
      <c r="CR23" s="9">
        <v>2.8965344299420397</v>
      </c>
      <c r="CS23" s="9">
        <v>1.5788055628047697</v>
      </c>
      <c r="CT23" s="9">
        <v>0.1967806128583767</v>
      </c>
    </row>
    <row r="24" spans="1:98">
      <c r="A24" s="1" t="s">
        <v>271</v>
      </c>
      <c r="B24" s="1" t="s">
        <v>263</v>
      </c>
      <c r="C24" s="1" t="s">
        <v>727</v>
      </c>
      <c r="D24" s="62">
        <v>64.964782</v>
      </c>
      <c r="E24" s="62">
        <v>2.729222</v>
      </c>
      <c r="I24" s="9">
        <v>129.08500000000001</v>
      </c>
      <c r="J24" s="1" t="s">
        <v>256</v>
      </c>
      <c r="K24" s="1" t="s">
        <v>52</v>
      </c>
      <c r="L24" s="1" t="s">
        <v>864</v>
      </c>
      <c r="M24" s="78" t="s">
        <v>862</v>
      </c>
      <c r="N24" s="78"/>
      <c r="P24" s="1" t="s">
        <v>815</v>
      </c>
      <c r="Q24" s="1" t="s">
        <v>286</v>
      </c>
      <c r="R24" s="4">
        <v>52.26</v>
      </c>
      <c r="S24" s="4">
        <v>1.1539999999999999</v>
      </c>
      <c r="T24" s="4">
        <v>13.397</v>
      </c>
      <c r="U24" s="4">
        <v>11.006</v>
      </c>
      <c r="W24" s="4">
        <v>0.30499999999999999</v>
      </c>
      <c r="X24" s="4">
        <v>10.087</v>
      </c>
      <c r="Y24" s="4">
        <v>9.9009999999999998</v>
      </c>
      <c r="Z24" s="4">
        <v>2.456</v>
      </c>
      <c r="AA24" s="4">
        <v>7.0000000000000007E-2</v>
      </c>
      <c r="AB24" s="4">
        <v>9.8000000000000004E-2</v>
      </c>
      <c r="AC24" s="9">
        <v>4.454506252695162</v>
      </c>
      <c r="AD24" s="21">
        <f t="shared" si="14"/>
        <v>100.73400000000001</v>
      </c>
      <c r="AE24" s="21">
        <f t="shared" si="0"/>
        <v>9.8943940000000001</v>
      </c>
      <c r="AF24" s="23">
        <f t="shared" si="1"/>
        <v>0.64506691222370793</v>
      </c>
      <c r="AH24" s="16">
        <f t="shared" si="15"/>
        <v>51.879206623384356</v>
      </c>
      <c r="AI24" s="16">
        <f t="shared" si="2"/>
        <v>1.1455913594218434</v>
      </c>
      <c r="AJ24" s="16">
        <f t="shared" si="3"/>
        <v>13.299382532213551</v>
      </c>
      <c r="AK24" s="16">
        <f t="shared" si="4"/>
        <v>10.925804594277997</v>
      </c>
      <c r="AL24" s="16">
        <f t="shared" si="5"/>
        <v>0</v>
      </c>
      <c r="AM24" s="16">
        <f t="shared" si="6"/>
        <v>0.30277761232553058</v>
      </c>
      <c r="AN24" s="16">
        <f t="shared" si="7"/>
        <v>10.013500903369268</v>
      </c>
      <c r="AO24" s="16">
        <f t="shared" si="8"/>
        <v>9.8288561955248461</v>
      </c>
      <c r="AP24" s="16">
        <f t="shared" si="9"/>
        <v>2.4381043143327972</v>
      </c>
      <c r="AQ24" s="16">
        <f t="shared" si="10"/>
        <v>6.9489943812416868E-2</v>
      </c>
      <c r="AR24" s="16">
        <f t="shared" si="11"/>
        <v>9.7285921337383605E-2</v>
      </c>
      <c r="AS24" s="16">
        <f t="shared" si="12"/>
        <v>99.999999999999986</v>
      </c>
      <c r="AT24" s="16">
        <f t="shared" si="13"/>
        <v>9.8222983302559186</v>
      </c>
      <c r="AV24" s="1" t="s">
        <v>400</v>
      </c>
      <c r="AW24" s="69">
        <v>16.883607026757517</v>
      </c>
      <c r="AX24" s="69"/>
      <c r="AY24" s="69">
        <v>60.386665229058664</v>
      </c>
      <c r="AZ24" s="69">
        <v>334.56725838220808</v>
      </c>
      <c r="BA24" s="69"/>
      <c r="BB24" s="69">
        <v>355.66094861586873</v>
      </c>
      <c r="BC24" s="69"/>
      <c r="BD24" s="69">
        <v>48.869666910512649</v>
      </c>
      <c r="BE24" s="69"/>
      <c r="BF24" s="69"/>
      <c r="BG24" s="69"/>
      <c r="BH24" s="69">
        <v>91.601556998723552</v>
      </c>
      <c r="BI24" s="69"/>
      <c r="BJ24" s="69">
        <v>84.092193221818306</v>
      </c>
      <c r="BK24" s="69"/>
      <c r="BL24" s="69">
        <v>16.336071511911577</v>
      </c>
      <c r="BM24" s="69"/>
      <c r="BN24" s="69">
        <v>0.13111835480273065</v>
      </c>
      <c r="BP24" s="69">
        <v>93.262709799426275</v>
      </c>
      <c r="BQ24" s="69"/>
      <c r="BR24" s="69">
        <v>25.860486329966808</v>
      </c>
      <c r="BS24" s="69"/>
      <c r="BT24" s="69">
        <v>53.152176702694263</v>
      </c>
      <c r="BV24" s="9">
        <v>1.3923306578431398</v>
      </c>
      <c r="BZ24" s="9">
        <v>6.6875390306210276E-3</v>
      </c>
      <c r="CA24" s="9">
        <v>21.526864743166836</v>
      </c>
      <c r="CB24" s="9">
        <v>2.2097009250462514</v>
      </c>
      <c r="CC24" s="9">
        <v>6.1799853488841547</v>
      </c>
      <c r="CD24" s="9">
        <v>1.0930550749998946</v>
      </c>
      <c r="CE24" s="9">
        <v>6.108478255167233</v>
      </c>
      <c r="CF24" s="9">
        <v>2.3900801578678705</v>
      </c>
      <c r="CG24" s="9">
        <v>1.0190497757483299</v>
      </c>
      <c r="CH24" s="9">
        <v>3.5695559967155832</v>
      </c>
      <c r="CI24" s="9">
        <v>0.71265811310763294</v>
      </c>
      <c r="CJ24" s="9">
        <v>4.5740614870176657</v>
      </c>
      <c r="CK24" s="9">
        <v>1.0666555324974611</v>
      </c>
      <c r="CL24" s="9">
        <v>2.9086348701611549</v>
      </c>
      <c r="CM24" s="9">
        <v>0.43540516372527355</v>
      </c>
      <c r="CN24" s="9">
        <v>2.8182357327489749</v>
      </c>
      <c r="CO24" s="9">
        <v>0.38822288594670729</v>
      </c>
      <c r="CP24" s="9">
        <v>1.4906591286731159</v>
      </c>
      <c r="CQ24" s="9">
        <v>7.5301386911210508E-2</v>
      </c>
      <c r="CR24" s="9">
        <v>1.0214599021012749</v>
      </c>
      <c r="CS24" s="9">
        <v>0.17017357965102831</v>
      </c>
      <c r="CT24" s="9">
        <v>4.5407886569508872E-2</v>
      </c>
    </row>
    <row r="25" spans="1:98">
      <c r="A25" s="1" t="s">
        <v>271</v>
      </c>
      <c r="B25" s="1" t="s">
        <v>263</v>
      </c>
      <c r="C25" s="1" t="s">
        <v>728</v>
      </c>
      <c r="D25" s="62">
        <v>64.964782</v>
      </c>
      <c r="E25" s="62">
        <v>2.729222</v>
      </c>
      <c r="I25" s="9">
        <v>142.16999999999999</v>
      </c>
      <c r="J25" s="1" t="s">
        <v>256</v>
      </c>
      <c r="K25" s="1" t="s">
        <v>52</v>
      </c>
      <c r="L25" s="1" t="s">
        <v>864</v>
      </c>
      <c r="M25" s="78" t="s">
        <v>862</v>
      </c>
      <c r="N25" s="78"/>
      <c r="P25" s="1" t="s">
        <v>815</v>
      </c>
      <c r="Q25" s="1" t="s">
        <v>286</v>
      </c>
      <c r="R25" s="4">
        <v>50.343000000000004</v>
      </c>
      <c r="S25" s="4">
        <v>1.35</v>
      </c>
      <c r="T25" s="4">
        <v>15.401</v>
      </c>
      <c r="U25" s="4">
        <v>11.537000000000001</v>
      </c>
      <c r="W25" s="4">
        <v>0.20300000000000001</v>
      </c>
      <c r="X25" s="4">
        <v>9.2530000000000001</v>
      </c>
      <c r="Y25" s="4">
        <v>10.941000000000001</v>
      </c>
      <c r="Z25" s="4">
        <v>2.23</v>
      </c>
      <c r="AA25" s="4">
        <v>0.125</v>
      </c>
      <c r="AB25" s="4">
        <v>9.9000000000000005E-2</v>
      </c>
      <c r="AC25" s="9">
        <v>3.4962608896769045</v>
      </c>
      <c r="AD25" s="21">
        <f t="shared" si="14"/>
        <v>101.48200000000003</v>
      </c>
      <c r="AE25" s="21">
        <f t="shared" si="0"/>
        <v>10.371763000000001</v>
      </c>
      <c r="AF25" s="23">
        <f t="shared" si="1"/>
        <v>0.6139641833216094</v>
      </c>
      <c r="AH25" s="16">
        <f t="shared" si="15"/>
        <v>49.607812222857241</v>
      </c>
      <c r="AI25" s="16">
        <f t="shared" si="2"/>
        <v>1.3302851737253893</v>
      </c>
      <c r="AJ25" s="16">
        <f t="shared" si="3"/>
        <v>15.176090341144237</v>
      </c>
      <c r="AK25" s="16">
        <f t="shared" si="4"/>
        <v>11.368518555014679</v>
      </c>
      <c r="AL25" s="16">
        <f t="shared" si="5"/>
        <v>0</v>
      </c>
      <c r="AM25" s="16">
        <f t="shared" si="6"/>
        <v>0.20003547427129931</v>
      </c>
      <c r="AN25" s="16">
        <f t="shared" si="7"/>
        <v>9.1178731203563164</v>
      </c>
      <c r="AO25" s="16">
        <f t="shared" si="8"/>
        <v>10.781222285725546</v>
      </c>
      <c r="AP25" s="16">
        <f t="shared" si="9"/>
        <v>2.1974340277093467</v>
      </c>
      <c r="AQ25" s="16">
        <f t="shared" si="10"/>
        <v>0.12317455312272124</v>
      </c>
      <c r="AR25" s="16">
        <f t="shared" si="11"/>
        <v>9.7554246073195225E-2</v>
      </c>
      <c r="AS25" s="16">
        <f t="shared" si="12"/>
        <v>99.999999999999986</v>
      </c>
      <c r="AT25" s="16">
        <f t="shared" si="13"/>
        <v>10.220298180958197</v>
      </c>
      <c r="AV25" s="1" t="s">
        <v>400</v>
      </c>
      <c r="AW25" s="69">
        <v>16.346088906325011</v>
      </c>
      <c r="AX25" s="69"/>
      <c r="AY25" s="69">
        <v>56.460778833805513</v>
      </c>
      <c r="AZ25" s="69">
        <v>304.69611436741536</v>
      </c>
      <c r="BA25" s="69"/>
      <c r="BB25" s="69">
        <v>435.30125607970893</v>
      </c>
      <c r="BC25" s="69"/>
      <c r="BD25" s="69">
        <v>47.665652769621126</v>
      </c>
      <c r="BE25" s="69"/>
      <c r="BF25" s="69"/>
      <c r="BG25" s="69"/>
      <c r="BH25" s="69">
        <v>70.177581362311457</v>
      </c>
      <c r="BI25" s="69"/>
      <c r="BJ25" s="69">
        <v>87.130697338347034</v>
      </c>
      <c r="BK25" s="69"/>
      <c r="BL25" s="69">
        <v>16.811786974058876</v>
      </c>
      <c r="BM25" s="69"/>
      <c r="BN25" s="69">
        <v>0.43326954364362735</v>
      </c>
      <c r="BP25" s="69">
        <v>83.719058573743496</v>
      </c>
      <c r="BQ25" s="69"/>
      <c r="BR25" s="69">
        <v>34.804585767436542</v>
      </c>
      <c r="BS25" s="69"/>
      <c r="BT25" s="69">
        <v>63.629643447031661</v>
      </c>
      <c r="BV25" s="9">
        <v>1.8495135693002083</v>
      </c>
      <c r="BZ25" s="9">
        <v>1.0419994348862766E-3</v>
      </c>
      <c r="CA25" s="9">
        <v>31.431669891172668</v>
      </c>
      <c r="CB25" s="9">
        <v>3.0258866804178561</v>
      </c>
      <c r="CC25" s="9">
        <v>8.1907117830480356</v>
      </c>
      <c r="CD25" s="9">
        <v>1.3937153262257393</v>
      </c>
      <c r="CE25" s="9">
        <v>7.8582711735590216</v>
      </c>
      <c r="CF25" s="9">
        <v>2.9254320380795877</v>
      </c>
      <c r="CG25" s="9">
        <v>1.1593941563198273</v>
      </c>
      <c r="CH25" s="9">
        <v>4.4919077288661375</v>
      </c>
      <c r="CI25" s="9">
        <v>0.94550596890518135</v>
      </c>
      <c r="CJ25" s="9">
        <v>6.1392739984134685</v>
      </c>
      <c r="CK25" s="9">
        <v>1.3808677261773781</v>
      </c>
      <c r="CL25" s="9">
        <v>3.7749482254971234</v>
      </c>
      <c r="CM25" s="9">
        <v>0.55859977218419121</v>
      </c>
      <c r="CN25" s="9">
        <v>3.713896070989362</v>
      </c>
      <c r="CO25" s="9">
        <v>0.48855541727178897</v>
      </c>
      <c r="CP25" s="9">
        <v>1.7276482156010835</v>
      </c>
      <c r="CQ25" s="9">
        <v>0.11977960485639717</v>
      </c>
      <c r="CR25" s="9">
        <v>1.3209252293552947</v>
      </c>
      <c r="CS25" s="9">
        <v>0.25172187655267031</v>
      </c>
      <c r="CT25" s="9">
        <v>5.4325805551225709E-2</v>
      </c>
    </row>
    <row r="26" spans="1:98">
      <c r="A26" s="1" t="s">
        <v>271</v>
      </c>
      <c r="B26" s="1" t="s">
        <v>263</v>
      </c>
      <c r="C26" s="1" t="s">
        <v>766</v>
      </c>
      <c r="D26" s="62">
        <v>64.964782</v>
      </c>
      <c r="E26" s="62">
        <v>2.729222</v>
      </c>
      <c r="I26" s="9">
        <v>26.89</v>
      </c>
      <c r="J26" s="1" t="s">
        <v>256</v>
      </c>
      <c r="K26" s="1" t="s">
        <v>52</v>
      </c>
      <c r="L26" s="1" t="s">
        <v>864</v>
      </c>
      <c r="M26" s="78" t="s">
        <v>862</v>
      </c>
      <c r="N26" s="78"/>
      <c r="P26" s="1" t="s">
        <v>262</v>
      </c>
      <c r="Q26" s="1" t="s">
        <v>269</v>
      </c>
      <c r="R26" s="4">
        <v>30.32</v>
      </c>
      <c r="S26" s="4">
        <v>0.71299999999999997</v>
      </c>
      <c r="T26" s="4">
        <v>9.06</v>
      </c>
      <c r="U26" s="4">
        <v>9.73</v>
      </c>
      <c r="W26" s="27">
        <v>0.46100000000000002</v>
      </c>
      <c r="X26" s="4">
        <v>5.87</v>
      </c>
      <c r="Y26" s="4">
        <v>23.66</v>
      </c>
      <c r="Z26" s="4">
        <v>1.49</v>
      </c>
      <c r="AA26" s="4">
        <v>0.35</v>
      </c>
      <c r="AB26" s="4">
        <v>0.11899999999999999</v>
      </c>
      <c r="AC26" s="9">
        <v>18.079999999999998</v>
      </c>
      <c r="AD26" s="21">
        <f t="shared" ref="AD26:AD37" si="16">SUM(R26:AC26)</f>
        <v>99.852999999999994</v>
      </c>
      <c r="AE26" s="21">
        <f t="shared" ref="AE26:AE37" si="17">V26+0.899*U26</f>
        <v>8.7472700000000003</v>
      </c>
      <c r="AF26" s="23">
        <f t="shared" ref="AF26:AF37" si="18">(X26/40.3)/((X26/40.3)+(AE26/71.844))</f>
        <v>0.54469503323211088</v>
      </c>
      <c r="AH26" s="16">
        <f t="shared" ref="AH26:AH37" si="19">100*R26/SUM($R26:$AB26)</f>
        <v>37.078253213163272</v>
      </c>
      <c r="AI26" s="16">
        <f t="shared" ref="AI26:AI37" si="20">100*S26/SUM($R26:$AB26)</f>
        <v>0.87192594132537637</v>
      </c>
      <c r="AJ26" s="16">
        <f t="shared" ref="AJ26:AJ37" si="21">100*T26/SUM($R26:$AB26)</f>
        <v>11.079451652746016</v>
      </c>
      <c r="AK26" s="16">
        <f t="shared" ref="AK26:AK37" si="22">100*U26/SUM($R26:$AB26)</f>
        <v>11.898793000134519</v>
      </c>
      <c r="AL26" s="16">
        <f t="shared" ref="AL26:AL37" si="23">100*V26/SUM($R26:$AB26)</f>
        <v>0</v>
      </c>
      <c r="AM26" s="16">
        <f t="shared" ref="AM26:AM37" si="24">100*W26/SUM($R26:$AB26)</f>
        <v>0.56375576290462626</v>
      </c>
      <c r="AN26" s="16">
        <f t="shared" ref="AN26:AN37" si="25">100*X26/SUM($R26:$AB26)</f>
        <v>7.178408521150013</v>
      </c>
      <c r="AO26" s="16">
        <f t="shared" ref="AO26:AO37" si="26">100*Y26/SUM($R26:$AB26)</f>
        <v>28.933755640614873</v>
      </c>
      <c r="AP26" s="16">
        <f t="shared" ref="AP26:AP37" si="27">100*Z26/SUM($R26:$AB26)</f>
        <v>1.8221173247893561</v>
      </c>
      <c r="AQ26" s="16">
        <f t="shared" ref="AQ26:AQ37" si="28">100*AA26/SUM($R26:$AB26)</f>
        <v>0.42801413669548632</v>
      </c>
      <c r="AR26" s="16">
        <f t="shared" ref="AR26:AR37" si="29">100*AB26/SUM($R26:$AB26)</f>
        <v>0.14552480647646532</v>
      </c>
      <c r="AS26" s="16">
        <f t="shared" ref="AS26:AS37" si="30">SUM(AH26:AR26)</f>
        <v>100</v>
      </c>
      <c r="AT26" s="16">
        <f t="shared" ref="AT26:AT37" si="31">AL26+0.899*AK26</f>
        <v>10.697014907120932</v>
      </c>
      <c r="AV26" s="1" t="s">
        <v>401</v>
      </c>
      <c r="AW26" s="69">
        <v>42.392724192913363</v>
      </c>
      <c r="AX26" s="69">
        <v>0.25618628377110092</v>
      </c>
      <c r="AY26" s="69">
        <v>23.293354080655075</v>
      </c>
      <c r="AZ26" s="69">
        <v>167.15072991972602</v>
      </c>
      <c r="BA26" s="69"/>
      <c r="BB26" s="69">
        <v>1209.8602248225818</v>
      </c>
      <c r="BC26" s="69"/>
      <c r="BD26" s="69">
        <v>71.578363273726595</v>
      </c>
      <c r="BE26" s="69"/>
      <c r="BF26" s="69">
        <v>578.68961231451397</v>
      </c>
      <c r="BG26" s="69"/>
      <c r="BH26" s="69">
        <v>39.129271997237005</v>
      </c>
      <c r="BI26" s="69"/>
      <c r="BJ26" s="69">
        <v>77.562960088721155</v>
      </c>
      <c r="BK26" s="69"/>
      <c r="BL26" s="69">
        <v>11.742690681506737</v>
      </c>
      <c r="BM26" s="69"/>
      <c r="BN26" s="69">
        <v>9.566563563368959</v>
      </c>
      <c r="BP26" s="69">
        <v>173.05321620484176</v>
      </c>
      <c r="BQ26" s="69"/>
      <c r="BR26" s="69">
        <v>14.701058573524431</v>
      </c>
      <c r="BS26" s="69"/>
      <c r="BT26" s="69">
        <v>51.023032857434735</v>
      </c>
      <c r="BV26" s="9">
        <v>2.86834250844062</v>
      </c>
      <c r="BZ26" s="9">
        <v>0.22327621391916758</v>
      </c>
      <c r="CA26" s="9">
        <v>89.263901582767062</v>
      </c>
      <c r="CB26" s="9">
        <v>3.003136087037614</v>
      </c>
      <c r="CC26" s="9">
        <v>7.1153288586469925</v>
      </c>
      <c r="CD26" s="9">
        <v>1.0831982312433015</v>
      </c>
      <c r="CE26" s="9">
        <v>5.5624685991457472</v>
      </c>
      <c r="CF26" s="9">
        <v>2.0852927891913482</v>
      </c>
      <c r="CG26" s="9">
        <v>0.82406423276639085</v>
      </c>
      <c r="CH26" s="9">
        <v>2.7233876112673872</v>
      </c>
      <c r="CI26" s="9">
        <v>0.46940997059907691</v>
      </c>
      <c r="CJ26" s="9">
        <v>2.8268690589121968</v>
      </c>
      <c r="CK26" s="9">
        <v>0.56739992355365199</v>
      </c>
      <c r="CL26" s="9">
        <v>1.5234974711490139</v>
      </c>
      <c r="CM26" s="9">
        <v>0.22674003838099746</v>
      </c>
      <c r="CN26" s="9">
        <v>1.3712127354859223</v>
      </c>
      <c r="CO26" s="9">
        <v>0.21116285022097958</v>
      </c>
      <c r="CP26" s="9">
        <v>1.4453171773558571</v>
      </c>
      <c r="CQ26" s="9">
        <v>0.18350649660406212</v>
      </c>
      <c r="CR26" s="9">
        <v>0.44160231720211285</v>
      </c>
      <c r="CS26" s="9">
        <v>0.36453071325261166</v>
      </c>
      <c r="CT26" s="9">
        <v>0.3093825506824614</v>
      </c>
    </row>
    <row r="27" spans="1:98">
      <c r="A27" s="1" t="s">
        <v>271</v>
      </c>
      <c r="B27" s="1" t="s">
        <v>263</v>
      </c>
      <c r="C27" s="1" t="s">
        <v>767</v>
      </c>
      <c r="D27" s="62">
        <v>64.964782</v>
      </c>
      <c r="E27" s="62">
        <v>2.729222</v>
      </c>
      <c r="I27" s="9">
        <v>37.729999999999997</v>
      </c>
      <c r="J27" s="1" t="s">
        <v>256</v>
      </c>
      <c r="K27" s="1" t="s">
        <v>52</v>
      </c>
      <c r="L27" s="1" t="s">
        <v>864</v>
      </c>
      <c r="M27" s="78" t="s">
        <v>862</v>
      </c>
      <c r="N27" s="78"/>
      <c r="P27" s="1" t="s">
        <v>262</v>
      </c>
      <c r="Q27" s="1" t="s">
        <v>269</v>
      </c>
      <c r="R27" s="4">
        <v>44.96</v>
      </c>
      <c r="S27" s="4">
        <v>0.99199999999999999</v>
      </c>
      <c r="T27" s="4">
        <v>15.4</v>
      </c>
      <c r="U27" s="4">
        <v>11.9</v>
      </c>
      <c r="W27" s="27">
        <v>0.17100000000000001</v>
      </c>
      <c r="X27" s="4">
        <v>9.66</v>
      </c>
      <c r="Y27" s="4">
        <v>9.4700000000000006</v>
      </c>
      <c r="Z27" s="4">
        <v>1.49</v>
      </c>
      <c r="AA27" s="4">
        <v>0.34</v>
      </c>
      <c r="AB27" s="4">
        <v>5.0999999999999997E-2</v>
      </c>
      <c r="AC27" s="9">
        <v>6.74</v>
      </c>
      <c r="AD27" s="21">
        <f t="shared" si="16"/>
        <v>101.17399999999999</v>
      </c>
      <c r="AE27" s="21">
        <f t="shared" si="17"/>
        <v>10.6981</v>
      </c>
      <c r="AF27" s="23">
        <f t="shared" si="18"/>
        <v>0.61682017275493028</v>
      </c>
      <c r="AH27" s="16">
        <f t="shared" si="19"/>
        <v>47.609970985026578</v>
      </c>
      <c r="AI27" s="16">
        <f t="shared" si="20"/>
        <v>1.0504691107016542</v>
      </c>
      <c r="AJ27" s="16">
        <f t="shared" si="21"/>
        <v>16.307685791134549</v>
      </c>
      <c r="AK27" s="16">
        <f t="shared" si="22"/>
        <v>12.601393565876696</v>
      </c>
      <c r="AL27" s="16">
        <f t="shared" si="23"/>
        <v>0</v>
      </c>
      <c r="AM27" s="16">
        <f t="shared" si="24"/>
        <v>0.18107884871974078</v>
      </c>
      <c r="AN27" s="16">
        <f t="shared" si="25"/>
        <v>10.229366541711672</v>
      </c>
      <c r="AO27" s="16">
        <f t="shared" si="26"/>
        <v>10.02816782091196</v>
      </c>
      <c r="AP27" s="16">
        <f t="shared" si="27"/>
        <v>1.5778215473240571</v>
      </c>
      <c r="AQ27" s="16">
        <f t="shared" si="28"/>
        <v>0.36003981616790565</v>
      </c>
      <c r="AR27" s="16">
        <f t="shared" si="29"/>
        <v>5.4005972425185844E-2</v>
      </c>
      <c r="AS27" s="16">
        <f t="shared" si="30"/>
        <v>100</v>
      </c>
      <c r="AT27" s="16">
        <f t="shared" si="31"/>
        <v>11.328652815723151</v>
      </c>
      <c r="AV27" s="1" t="s">
        <v>401</v>
      </c>
      <c r="AW27" s="69">
        <v>33.784739436075704</v>
      </c>
      <c r="AX27" s="69">
        <v>0.17906269306940914</v>
      </c>
      <c r="AY27" s="69">
        <v>44.850212910694694</v>
      </c>
      <c r="AZ27" s="69">
        <v>308.30871757259052</v>
      </c>
      <c r="BA27" s="69"/>
      <c r="BB27" s="69">
        <v>333.28172144045504</v>
      </c>
      <c r="BC27" s="69"/>
      <c r="BD27" s="69">
        <v>63.764586142144296</v>
      </c>
      <c r="BE27" s="69"/>
      <c r="BF27" s="69">
        <v>150.82252016610664</v>
      </c>
      <c r="BG27" s="69"/>
      <c r="BH27" s="69">
        <v>89.497726190820487</v>
      </c>
      <c r="BI27" s="69"/>
      <c r="BJ27" s="69">
        <v>73.974726464821117</v>
      </c>
      <c r="BK27" s="69"/>
      <c r="BL27" s="69">
        <v>15.790185849202262</v>
      </c>
      <c r="BM27" s="69"/>
      <c r="BN27" s="69">
        <v>5.6798627741907532</v>
      </c>
      <c r="BP27" s="69">
        <v>63.156512299997189</v>
      </c>
      <c r="BQ27" s="69"/>
      <c r="BR27" s="69">
        <v>21.753822236600964</v>
      </c>
      <c r="BS27" s="69"/>
      <c r="BT27" s="69">
        <v>52.119826138814815</v>
      </c>
      <c r="BV27" s="9">
        <v>0.68238731880219883</v>
      </c>
      <c r="BZ27" s="9">
        <v>0.16583615087634715</v>
      </c>
      <c r="CA27" s="9">
        <v>11.448385405316593</v>
      </c>
      <c r="CB27" s="9">
        <v>1.0399588196615444</v>
      </c>
      <c r="CC27" s="9">
        <v>3.5234235007305053</v>
      </c>
      <c r="CD27" s="9">
        <v>0.67528496455746412</v>
      </c>
      <c r="CE27" s="9">
        <v>4.1609217682381843</v>
      </c>
      <c r="CF27" s="9">
        <v>1.9550692632916542</v>
      </c>
      <c r="CG27" s="9">
        <v>0.84511123090454354</v>
      </c>
      <c r="CH27" s="9">
        <v>2.9739886643890219</v>
      </c>
      <c r="CI27" s="9">
        <v>0.5730253531000451</v>
      </c>
      <c r="CJ27" s="9">
        <v>3.8465952912510648</v>
      </c>
      <c r="CK27" s="9">
        <v>0.86033980821603429</v>
      </c>
      <c r="CL27" s="9">
        <v>2.4713548008197761</v>
      </c>
      <c r="CM27" s="9">
        <v>0.37645082868445956</v>
      </c>
      <c r="CN27" s="9">
        <v>2.3802878605785636</v>
      </c>
      <c r="CO27" s="9">
        <v>0.37489107021116769</v>
      </c>
      <c r="CP27" s="9">
        <v>1.5646565003465192</v>
      </c>
      <c r="CQ27" s="9">
        <v>5.852538472606781E-2</v>
      </c>
      <c r="CR27" s="9">
        <v>0.32797845450759489</v>
      </c>
      <c r="CS27" s="9">
        <v>0.13867111219551884</v>
      </c>
      <c r="CT27" s="9">
        <v>0.10205768850003487</v>
      </c>
    </row>
    <row r="28" spans="1:98">
      <c r="A28" s="1" t="s">
        <v>271</v>
      </c>
      <c r="B28" s="1" t="s">
        <v>263</v>
      </c>
      <c r="C28" s="1" t="s">
        <v>768</v>
      </c>
      <c r="D28" s="62">
        <v>64.964782</v>
      </c>
      <c r="E28" s="62">
        <v>2.729222</v>
      </c>
      <c r="I28" s="9">
        <v>47.16</v>
      </c>
      <c r="J28" s="1" t="s">
        <v>256</v>
      </c>
      <c r="K28" s="1" t="s">
        <v>52</v>
      </c>
      <c r="L28" s="1" t="s">
        <v>864</v>
      </c>
      <c r="M28" s="78" t="s">
        <v>862</v>
      </c>
      <c r="N28" s="78"/>
      <c r="P28" s="1" t="s">
        <v>262</v>
      </c>
      <c r="Q28" s="1" t="s">
        <v>269</v>
      </c>
      <c r="R28" s="4">
        <v>46.49</v>
      </c>
      <c r="S28" s="4">
        <v>1.593</v>
      </c>
      <c r="T28" s="4">
        <v>14.02</v>
      </c>
      <c r="U28" s="4">
        <v>14.24</v>
      </c>
      <c r="W28" s="27">
        <v>0.22500000000000001</v>
      </c>
      <c r="X28" s="4">
        <v>7.56</v>
      </c>
      <c r="Y28" s="4">
        <v>10.44</v>
      </c>
      <c r="Z28" s="4">
        <v>2.27</v>
      </c>
      <c r="AA28" s="4">
        <v>0.27</v>
      </c>
      <c r="AB28" s="4">
        <v>0.121</v>
      </c>
      <c r="AC28" s="9">
        <v>2.64</v>
      </c>
      <c r="AD28" s="21">
        <f t="shared" si="16"/>
        <v>99.868999999999971</v>
      </c>
      <c r="AE28" s="21">
        <f t="shared" si="17"/>
        <v>12.80176</v>
      </c>
      <c r="AF28" s="23">
        <f t="shared" si="18"/>
        <v>0.51285570638048483</v>
      </c>
      <c r="AH28" s="16">
        <f t="shared" si="19"/>
        <v>47.814952329037645</v>
      </c>
      <c r="AI28" s="16">
        <f t="shared" si="20"/>
        <v>1.6384000658239832</v>
      </c>
      <c r="AJ28" s="16">
        <f t="shared" si="21"/>
        <v>14.419566178814968</v>
      </c>
      <c r="AK28" s="16">
        <f t="shared" si="22"/>
        <v>14.645836118853433</v>
      </c>
      <c r="AL28" s="16">
        <f t="shared" si="23"/>
        <v>0</v>
      </c>
      <c r="AM28" s="16">
        <f t="shared" si="24"/>
        <v>0.23141243867570382</v>
      </c>
      <c r="AN28" s="16">
        <f t="shared" si="25"/>
        <v>7.7754579395036485</v>
      </c>
      <c r="AO28" s="16">
        <f t="shared" si="26"/>
        <v>10.737537154552657</v>
      </c>
      <c r="AP28" s="16">
        <f t="shared" si="27"/>
        <v>2.3346943813059897</v>
      </c>
      <c r="AQ28" s="16">
        <f t="shared" si="28"/>
        <v>0.27769492641084459</v>
      </c>
      <c r="AR28" s="16">
        <f t="shared" si="29"/>
        <v>0.12444846702115628</v>
      </c>
      <c r="AS28" s="16">
        <f t="shared" si="30"/>
        <v>100.00000000000003</v>
      </c>
      <c r="AT28" s="16">
        <f t="shared" si="31"/>
        <v>13.166606670849237</v>
      </c>
      <c r="AV28" s="1" t="s">
        <v>401</v>
      </c>
      <c r="AW28" s="69">
        <v>10.816379818028233</v>
      </c>
      <c r="AX28" s="69">
        <v>0.40609215205774141</v>
      </c>
      <c r="AY28" s="69">
        <v>54.208710039657554</v>
      </c>
      <c r="AZ28" s="69">
        <v>418.38286939901252</v>
      </c>
      <c r="BA28" s="69"/>
      <c r="BB28" s="69">
        <v>200.5363011348351</v>
      </c>
      <c r="BC28" s="69"/>
      <c r="BD28" s="69">
        <v>56.231220544007421</v>
      </c>
      <c r="BE28" s="69"/>
      <c r="BF28" s="69">
        <v>89.123277932641699</v>
      </c>
      <c r="BG28" s="69"/>
      <c r="BH28" s="69">
        <v>126.60699744709866</v>
      </c>
      <c r="BI28" s="69"/>
      <c r="BJ28" s="69">
        <v>97.961763402676439</v>
      </c>
      <c r="BK28" s="69"/>
      <c r="BL28" s="69">
        <v>19.036181244575651</v>
      </c>
      <c r="BM28" s="69"/>
      <c r="BN28" s="69">
        <v>3.3082450366123135</v>
      </c>
      <c r="BP28" s="69">
        <v>107.97842619715098</v>
      </c>
      <c r="BQ28" s="69"/>
      <c r="BR28" s="69">
        <v>35.378152954471453</v>
      </c>
      <c r="BS28" s="69"/>
      <c r="BT28" s="69">
        <v>95.237877469110444</v>
      </c>
      <c r="BV28" s="9">
        <v>2.2408998151710868</v>
      </c>
      <c r="BZ28" s="9">
        <v>9.5346955923866591E-2</v>
      </c>
      <c r="CA28" s="9">
        <v>39.350250695307238</v>
      </c>
      <c r="CB28" s="9">
        <v>3.4372595331600571</v>
      </c>
      <c r="CC28" s="9">
        <v>9.867148862181562</v>
      </c>
      <c r="CD28" s="9">
        <v>1.6396388569686473</v>
      </c>
      <c r="CE28" s="9">
        <v>9.3151754115253897</v>
      </c>
      <c r="CF28" s="9">
        <v>3.8570118798860182</v>
      </c>
      <c r="CG28" s="9">
        <v>1.5033085009548559</v>
      </c>
      <c r="CH28" s="9">
        <v>5.2599426957420476</v>
      </c>
      <c r="CI28" s="9">
        <v>0.97336643584384286</v>
      </c>
      <c r="CJ28" s="9">
        <v>6.3097892080883415</v>
      </c>
      <c r="CK28" s="9">
        <v>1.3693441600117011</v>
      </c>
      <c r="CL28" s="9">
        <v>3.8997125127331551</v>
      </c>
      <c r="CM28" s="9">
        <v>0.58564768966232683</v>
      </c>
      <c r="CN28" s="9">
        <v>3.6932931671459102</v>
      </c>
      <c r="CO28" s="9">
        <v>0.57722003578143555</v>
      </c>
      <c r="CP28" s="9">
        <v>2.7549498208190042</v>
      </c>
      <c r="CQ28" s="9">
        <v>0.14526223740126204</v>
      </c>
      <c r="CR28" s="9">
        <v>0.79226690757610341</v>
      </c>
      <c r="CS28" s="9">
        <v>0.46223650851799009</v>
      </c>
      <c r="CT28" s="9">
        <v>7.9828580938459098E-2</v>
      </c>
    </row>
    <row r="29" spans="1:98">
      <c r="A29" s="1" t="s">
        <v>271</v>
      </c>
      <c r="B29" s="1" t="s">
        <v>263</v>
      </c>
      <c r="C29" s="1" t="s">
        <v>769</v>
      </c>
      <c r="D29" s="62">
        <v>64.964782</v>
      </c>
      <c r="E29" s="62">
        <v>2.729222</v>
      </c>
      <c r="I29" s="9">
        <v>61.72</v>
      </c>
      <c r="J29" s="1" t="s">
        <v>256</v>
      </c>
      <c r="K29" s="1" t="s">
        <v>52</v>
      </c>
      <c r="L29" s="1" t="s">
        <v>864</v>
      </c>
      <c r="M29" s="78" t="s">
        <v>862</v>
      </c>
      <c r="N29" s="78"/>
      <c r="P29" s="1" t="s">
        <v>262</v>
      </c>
      <c r="Q29" s="1" t="s">
        <v>269</v>
      </c>
      <c r="R29" s="4">
        <v>43.06</v>
      </c>
      <c r="S29" s="4">
        <v>2.3809999999999998</v>
      </c>
      <c r="T29" s="4">
        <v>34.39</v>
      </c>
      <c r="U29" s="4">
        <v>3.73</v>
      </c>
      <c r="W29" s="27">
        <v>3.1E-2</v>
      </c>
      <c r="X29" s="4">
        <v>0.4</v>
      </c>
      <c r="Y29" s="4">
        <v>0.33</v>
      </c>
      <c r="Z29" s="4">
        <v>0.55000000000000004</v>
      </c>
      <c r="AA29" s="4">
        <v>0.23</v>
      </c>
      <c r="AB29" s="4">
        <v>0.112</v>
      </c>
      <c r="AC29" s="9">
        <v>15.6</v>
      </c>
      <c r="AD29" s="21">
        <f t="shared" si="16"/>
        <v>100.81400000000001</v>
      </c>
      <c r="AE29" s="21">
        <f t="shared" si="17"/>
        <v>3.3532700000000002</v>
      </c>
      <c r="AF29" s="23">
        <f t="shared" si="18"/>
        <v>0.17536359145728825</v>
      </c>
      <c r="AH29" s="16">
        <f t="shared" si="19"/>
        <v>50.53160278827422</v>
      </c>
      <c r="AI29" s="16">
        <f t="shared" si="20"/>
        <v>2.7941418076841824</v>
      </c>
      <c r="AJ29" s="16">
        <f t="shared" si="21"/>
        <v>40.35721829746285</v>
      </c>
      <c r="AK29" s="16">
        <f t="shared" si="22"/>
        <v>4.3772150116178086</v>
      </c>
      <c r="AL29" s="16">
        <f t="shared" si="23"/>
        <v>0</v>
      </c>
      <c r="AM29" s="16">
        <f t="shared" si="24"/>
        <v>3.6378998756072943E-2</v>
      </c>
      <c r="AN29" s="16">
        <f t="shared" si="25"/>
        <v>0.46940643556223149</v>
      </c>
      <c r="AO29" s="16">
        <f t="shared" si="26"/>
        <v>0.38726030933884098</v>
      </c>
      <c r="AP29" s="16">
        <f t="shared" si="27"/>
        <v>0.64543384889806843</v>
      </c>
      <c r="AQ29" s="16">
        <f t="shared" si="28"/>
        <v>0.26990870044828308</v>
      </c>
      <c r="AR29" s="16">
        <f t="shared" si="29"/>
        <v>0.13143380195742482</v>
      </c>
      <c r="AS29" s="16">
        <f t="shared" si="30"/>
        <v>100</v>
      </c>
      <c r="AT29" s="16">
        <f t="shared" si="31"/>
        <v>3.9351162954444101</v>
      </c>
      <c r="AV29" s="1" t="s">
        <v>401</v>
      </c>
      <c r="AW29" s="69">
        <v>24.72307306666934</v>
      </c>
      <c r="AX29" s="69">
        <v>0.55082159288469734</v>
      </c>
      <c r="AY29" s="69">
        <v>104.76607289878527</v>
      </c>
      <c r="AZ29" s="69">
        <v>710.58157156086475</v>
      </c>
      <c r="BA29" s="69"/>
      <c r="BB29" s="69">
        <v>736.32654482713451</v>
      </c>
      <c r="BC29" s="69"/>
      <c r="BD29" s="69">
        <v>87.305066821206083</v>
      </c>
      <c r="BE29" s="69"/>
      <c r="BF29" s="69">
        <v>189.0984530213197</v>
      </c>
      <c r="BG29" s="69"/>
      <c r="BH29" s="69">
        <v>251.41721520501559</v>
      </c>
      <c r="BI29" s="69"/>
      <c r="BJ29" s="69">
        <v>122.83379556445506</v>
      </c>
      <c r="BK29" s="69"/>
      <c r="BL29" s="69">
        <v>49.414923031677318</v>
      </c>
      <c r="BM29" s="69"/>
      <c r="BN29" s="69">
        <v>2.1645442176574239</v>
      </c>
      <c r="BP29" s="69">
        <v>27.460318768911876</v>
      </c>
      <c r="BQ29" s="69"/>
      <c r="BR29" s="69">
        <v>41.813095840933393</v>
      </c>
      <c r="BS29" s="69"/>
      <c r="BT29" s="69">
        <v>136.7618833439742</v>
      </c>
      <c r="BV29" s="9">
        <v>2.2975303695887392</v>
      </c>
      <c r="BZ29" s="9">
        <v>0.11819697717567998</v>
      </c>
      <c r="CA29" s="9">
        <v>7.6796487521613725</v>
      </c>
      <c r="CB29" s="9">
        <v>4.8911945260725886</v>
      </c>
      <c r="CC29" s="9">
        <v>17.139263566523979</v>
      </c>
      <c r="CD29" s="9">
        <v>2.4864365326385482</v>
      </c>
      <c r="CE29" s="9">
        <v>12.371520950381347</v>
      </c>
      <c r="CF29" s="9">
        <v>5.1184194951464042</v>
      </c>
      <c r="CG29" s="9">
        <v>1.5815105361717898</v>
      </c>
      <c r="CH29" s="9">
        <v>6.3495092433469837</v>
      </c>
      <c r="CI29" s="9">
        <v>1.3248903917749986</v>
      </c>
      <c r="CJ29" s="9">
        <v>8.6211446703706365</v>
      </c>
      <c r="CK29" s="9">
        <v>1.8103952554479306</v>
      </c>
      <c r="CL29" s="9">
        <v>5.1671506934211022</v>
      </c>
      <c r="CM29" s="9">
        <v>0.81799768443679521</v>
      </c>
      <c r="CN29" s="9">
        <v>5.4290665722947731</v>
      </c>
      <c r="CO29" s="9">
        <v>0.81255887644576907</v>
      </c>
      <c r="CP29" s="9">
        <v>4.185510685699497</v>
      </c>
      <c r="CQ29" s="9">
        <v>0.16527415970544751</v>
      </c>
      <c r="CR29" s="9">
        <v>1.9581237329007923</v>
      </c>
      <c r="CS29" s="9">
        <v>1.1431013923720394</v>
      </c>
      <c r="CT29" s="9">
        <v>0.47988496799679187</v>
      </c>
    </row>
    <row r="30" spans="1:98">
      <c r="A30" s="1" t="s">
        <v>271</v>
      </c>
      <c r="B30" s="1" t="s">
        <v>263</v>
      </c>
      <c r="C30" s="1" t="s">
        <v>770</v>
      </c>
      <c r="D30" s="62">
        <v>64.964782</v>
      </c>
      <c r="E30" s="62">
        <v>2.729222</v>
      </c>
      <c r="I30" s="9">
        <v>72.004999999999995</v>
      </c>
      <c r="J30" s="1" t="s">
        <v>256</v>
      </c>
      <c r="K30" s="1" t="s">
        <v>52</v>
      </c>
      <c r="L30" s="1" t="s">
        <v>864</v>
      </c>
      <c r="M30" s="78" t="s">
        <v>862</v>
      </c>
      <c r="N30" s="78"/>
      <c r="P30" s="1" t="s">
        <v>262</v>
      </c>
      <c r="Q30" s="1" t="s">
        <v>269</v>
      </c>
      <c r="R30" s="4">
        <v>47.21</v>
      </c>
      <c r="S30" s="4">
        <v>1.147</v>
      </c>
      <c r="T30" s="4">
        <v>15.36</v>
      </c>
      <c r="U30" s="4">
        <v>11.98</v>
      </c>
      <c r="W30" s="27">
        <v>0.18099999999999999</v>
      </c>
      <c r="X30" s="4">
        <v>8.34</v>
      </c>
      <c r="Y30" s="4">
        <v>9.99</v>
      </c>
      <c r="Z30" s="4">
        <v>1.83</v>
      </c>
      <c r="AA30" s="4">
        <v>0.23</v>
      </c>
      <c r="AB30" s="4">
        <v>8.5999999999999993E-2</v>
      </c>
      <c r="AC30" s="9">
        <v>5.29</v>
      </c>
      <c r="AD30" s="21">
        <f t="shared" si="16"/>
        <v>101.64400000000001</v>
      </c>
      <c r="AE30" s="21">
        <f t="shared" si="17"/>
        <v>10.770020000000001</v>
      </c>
      <c r="AF30" s="23">
        <f t="shared" si="18"/>
        <v>0.5799193927485653</v>
      </c>
      <c r="AH30" s="16">
        <f t="shared" si="19"/>
        <v>48.996409074869753</v>
      </c>
      <c r="AI30" s="16">
        <f t="shared" si="20"/>
        <v>1.190402059073832</v>
      </c>
      <c r="AJ30" s="16">
        <f t="shared" si="21"/>
        <v>15.941216763185754</v>
      </c>
      <c r="AK30" s="16">
        <f t="shared" si="22"/>
        <v>12.433318803578471</v>
      </c>
      <c r="AL30" s="16">
        <f t="shared" si="23"/>
        <v>0</v>
      </c>
      <c r="AM30" s="16">
        <f t="shared" si="24"/>
        <v>0.18784897357660293</v>
      </c>
      <c r="AN30" s="16">
        <f t="shared" si="25"/>
        <v>8.655582539386014</v>
      </c>
      <c r="AO30" s="16">
        <f t="shared" si="26"/>
        <v>10.368017933868858</v>
      </c>
      <c r="AP30" s="16">
        <f t="shared" si="27"/>
        <v>1.8992465284264275</v>
      </c>
      <c r="AQ30" s="16">
        <f t="shared" si="28"/>
        <v>0.23870311559457832</v>
      </c>
      <c r="AR30" s="16">
        <f t="shared" si="29"/>
        <v>8.9254208439711893E-2</v>
      </c>
      <c r="AS30" s="16">
        <f t="shared" si="30"/>
        <v>100.00000000000001</v>
      </c>
      <c r="AT30" s="16">
        <f t="shared" si="31"/>
        <v>11.177553604417046</v>
      </c>
      <c r="AV30" s="1" t="s">
        <v>401</v>
      </c>
      <c r="AW30" s="69">
        <v>6.3029099103674495</v>
      </c>
      <c r="AX30" s="69">
        <v>0.2089667784919737</v>
      </c>
      <c r="AY30" s="69">
        <v>51.820070313297386</v>
      </c>
      <c r="AZ30" s="69">
        <v>335.08259783585254</v>
      </c>
      <c r="BA30" s="69"/>
      <c r="BB30" s="69">
        <v>342.80432582557518</v>
      </c>
      <c r="BC30" s="69"/>
      <c r="BD30" s="69">
        <v>54.598948525736233</v>
      </c>
      <c r="BE30" s="69"/>
      <c r="BF30" s="69">
        <v>107.24368082658124</v>
      </c>
      <c r="BG30" s="69"/>
      <c r="BH30" s="69">
        <v>128.60330465055696</v>
      </c>
      <c r="BI30" s="69"/>
      <c r="BJ30" s="69">
        <v>74.675840520729224</v>
      </c>
      <c r="BK30" s="69"/>
      <c r="BL30" s="69">
        <v>16.144364784959631</v>
      </c>
      <c r="BM30" s="69"/>
      <c r="BN30" s="69">
        <v>3.2433487568187296</v>
      </c>
      <c r="BP30" s="69">
        <v>80.260299316743911</v>
      </c>
      <c r="BQ30" s="69"/>
      <c r="BR30" s="69">
        <v>27.556515365013642</v>
      </c>
      <c r="BS30" s="69"/>
      <c r="BT30" s="69">
        <v>60.130730426900733</v>
      </c>
      <c r="BV30" s="9">
        <v>1.0980651174479374</v>
      </c>
      <c r="BZ30" s="9">
        <v>0.16243998506855259</v>
      </c>
      <c r="CA30" s="9">
        <v>18.863551827042212</v>
      </c>
      <c r="CB30" s="9">
        <v>1.7980959457936265</v>
      </c>
      <c r="CC30" s="9">
        <v>5.484944760035833</v>
      </c>
      <c r="CD30" s="9">
        <v>1.0065288980588922</v>
      </c>
      <c r="CE30" s="9">
        <v>5.9142282760184699</v>
      </c>
      <c r="CF30" s="9">
        <v>2.6181472650444291</v>
      </c>
      <c r="CG30" s="9">
        <v>1.0883667362293188</v>
      </c>
      <c r="CH30" s="9">
        <v>3.7897177107256814</v>
      </c>
      <c r="CI30" s="9">
        <v>0.72223412281436916</v>
      </c>
      <c r="CJ30" s="9">
        <v>4.7321138591953886</v>
      </c>
      <c r="CK30" s="9">
        <v>1.0472281142588042</v>
      </c>
      <c r="CL30" s="9">
        <v>3.0128200429887517</v>
      </c>
      <c r="CM30" s="9">
        <v>0.45279235620748287</v>
      </c>
      <c r="CN30" s="9">
        <v>2.8378981840090991</v>
      </c>
      <c r="CO30" s="9">
        <v>0.44257476478445801</v>
      </c>
      <c r="CP30" s="9">
        <v>1.7830167614830508</v>
      </c>
      <c r="CQ30" s="9">
        <v>7.419784568706192E-2</v>
      </c>
      <c r="CR30" s="9">
        <v>0.35603856670386919</v>
      </c>
      <c r="CS30" s="9">
        <v>0.16097780435489739</v>
      </c>
      <c r="CT30" s="9">
        <v>3.7292661533298688E-2</v>
      </c>
    </row>
    <row r="31" spans="1:98">
      <c r="A31" s="1" t="s">
        <v>271</v>
      </c>
      <c r="B31" s="1" t="s">
        <v>263</v>
      </c>
      <c r="C31" s="1" t="s">
        <v>771</v>
      </c>
      <c r="D31" s="62">
        <v>64.964782</v>
      </c>
      <c r="E31" s="62">
        <v>2.729222</v>
      </c>
      <c r="I31" s="9">
        <v>81.72</v>
      </c>
      <c r="J31" s="1" t="s">
        <v>256</v>
      </c>
      <c r="K31" s="1" t="s">
        <v>52</v>
      </c>
      <c r="L31" s="1" t="s">
        <v>864</v>
      </c>
      <c r="M31" s="78" t="s">
        <v>862</v>
      </c>
      <c r="N31" s="78"/>
      <c r="P31" s="1" t="s">
        <v>262</v>
      </c>
      <c r="Q31" s="1" t="s">
        <v>269</v>
      </c>
      <c r="R31" s="4">
        <v>47.41</v>
      </c>
      <c r="S31" s="4">
        <v>1.117</v>
      </c>
      <c r="T31" s="4">
        <v>14.82</v>
      </c>
      <c r="U31" s="4">
        <v>12.21</v>
      </c>
      <c r="W31" s="27">
        <v>0.20899999999999999</v>
      </c>
      <c r="X31" s="4">
        <v>8.33</v>
      </c>
      <c r="Y31" s="4">
        <v>10.55</v>
      </c>
      <c r="Z31" s="4">
        <v>1.97</v>
      </c>
      <c r="AA31" s="4">
        <v>0.16</v>
      </c>
      <c r="AB31" s="4">
        <v>6.8000000000000005E-2</v>
      </c>
      <c r="AC31" s="9">
        <v>3.95</v>
      </c>
      <c r="AD31" s="21">
        <f t="shared" si="16"/>
        <v>100.79399999999998</v>
      </c>
      <c r="AE31" s="21">
        <f t="shared" si="17"/>
        <v>10.976790000000001</v>
      </c>
      <c r="AF31" s="23">
        <f t="shared" si="18"/>
        <v>0.57498660171220284</v>
      </c>
      <c r="AH31" s="16">
        <f t="shared" si="19"/>
        <v>48.955020445252167</v>
      </c>
      <c r="AI31" s="16">
        <f t="shared" si="20"/>
        <v>1.1534013464953949</v>
      </c>
      <c r="AJ31" s="16">
        <f t="shared" si="21"/>
        <v>15.30296146379745</v>
      </c>
      <c r="AK31" s="16">
        <f t="shared" si="22"/>
        <v>12.607905497501138</v>
      </c>
      <c r="AL31" s="16">
        <f t="shared" si="23"/>
        <v>0</v>
      </c>
      <c r="AM31" s="16">
        <f t="shared" si="24"/>
        <v>0.21581099500227172</v>
      </c>
      <c r="AN31" s="16">
        <f t="shared" si="25"/>
        <v>8.6014621453058542</v>
      </c>
      <c r="AO31" s="16">
        <f t="shared" si="26"/>
        <v>10.893808599396971</v>
      </c>
      <c r="AP31" s="16">
        <f t="shared" si="27"/>
        <v>2.0341993308826569</v>
      </c>
      <c r="AQ31" s="16">
        <f t="shared" si="28"/>
        <v>0.16521415885341378</v>
      </c>
      <c r="AR31" s="16">
        <f t="shared" si="29"/>
        <v>7.021601751270086E-2</v>
      </c>
      <c r="AS31" s="16">
        <f t="shared" si="30"/>
        <v>100.00000000000003</v>
      </c>
      <c r="AT31" s="16">
        <f t="shared" si="31"/>
        <v>11.334507042253524</v>
      </c>
      <c r="AV31" s="1" t="s">
        <v>401</v>
      </c>
      <c r="AW31" s="69">
        <v>9.6271728109872043</v>
      </c>
      <c r="AX31" s="69">
        <v>0.26544372493897661</v>
      </c>
      <c r="AY31" s="69">
        <v>56.944970805055092</v>
      </c>
      <c r="AZ31" s="69">
        <v>355.49186538796295</v>
      </c>
      <c r="BA31" s="69"/>
      <c r="BB31" s="69">
        <v>368.91802826434429</v>
      </c>
      <c r="BC31" s="69"/>
      <c r="BD31" s="69">
        <v>50.199493530082485</v>
      </c>
      <c r="BE31" s="69"/>
      <c r="BF31" s="69">
        <v>92.939292301699595</v>
      </c>
      <c r="BG31" s="69"/>
      <c r="BH31" s="69">
        <v>66.714625629890165</v>
      </c>
      <c r="BI31" s="69"/>
      <c r="BJ31" s="69">
        <v>75.033027396695019</v>
      </c>
      <c r="BK31" s="69"/>
      <c r="BL31" s="69">
        <v>16.229764283739154</v>
      </c>
      <c r="BM31" s="69"/>
      <c r="BN31" s="69">
        <v>2.0677730443925681</v>
      </c>
      <c r="BP31" s="69">
        <v>69.173554360830167</v>
      </c>
      <c r="BQ31" s="69"/>
      <c r="BR31" s="69">
        <v>29.396273310604592</v>
      </c>
      <c r="BS31" s="69"/>
      <c r="BT31" s="69">
        <v>57.525068265614379</v>
      </c>
      <c r="BV31" s="9">
        <v>0.89566483311025413</v>
      </c>
      <c r="BZ31" s="9">
        <v>0.12540810599674077</v>
      </c>
      <c r="CA31" s="9">
        <v>15.958173804435656</v>
      </c>
      <c r="CB31" s="9">
        <v>1.671657808250878</v>
      </c>
      <c r="CC31" s="9">
        <v>5.0805182058773957</v>
      </c>
      <c r="CD31" s="9">
        <v>0.88295924090083089</v>
      </c>
      <c r="CE31" s="9">
        <v>5.3177630515401253</v>
      </c>
      <c r="CF31" s="9">
        <v>2.4734249904693471</v>
      </c>
      <c r="CG31" s="9">
        <v>1.0364434172911625</v>
      </c>
      <c r="CH31" s="9">
        <v>3.8523726581678113</v>
      </c>
      <c r="CI31" s="9">
        <v>0.76069154525300686</v>
      </c>
      <c r="CJ31" s="9">
        <v>4.9856728718603094</v>
      </c>
      <c r="CK31" s="9">
        <v>1.1412391029123026</v>
      </c>
      <c r="CL31" s="9">
        <v>3.2511532768643132</v>
      </c>
      <c r="CM31" s="9">
        <v>0.50181259318402849</v>
      </c>
      <c r="CN31" s="9">
        <v>3.1461697647727558</v>
      </c>
      <c r="CO31" s="9">
        <v>0.51094147226258879</v>
      </c>
      <c r="CP31" s="9">
        <v>1.7660795639019427</v>
      </c>
      <c r="CQ31" s="9">
        <v>6.202570419646037E-2</v>
      </c>
      <c r="CR31" s="9">
        <v>0.56097695028479178</v>
      </c>
      <c r="CS31" s="9">
        <v>0.30710765663827128</v>
      </c>
      <c r="CT31" s="9">
        <v>7.2007307932185571E-2</v>
      </c>
    </row>
    <row r="32" spans="1:98">
      <c r="A32" s="1" t="s">
        <v>271</v>
      </c>
      <c r="B32" s="1" t="s">
        <v>263</v>
      </c>
      <c r="C32" s="1" t="s">
        <v>772</v>
      </c>
      <c r="D32" s="62">
        <v>64.964782</v>
      </c>
      <c r="E32" s="62">
        <v>2.729222</v>
      </c>
      <c r="I32" s="9">
        <v>94.92</v>
      </c>
      <c r="J32" s="1" t="s">
        <v>256</v>
      </c>
      <c r="K32" s="1" t="s">
        <v>52</v>
      </c>
      <c r="L32" s="1" t="s">
        <v>864</v>
      </c>
      <c r="M32" s="78" t="s">
        <v>862</v>
      </c>
      <c r="N32" s="78"/>
      <c r="P32" s="1" t="s">
        <v>262</v>
      </c>
      <c r="Q32" s="1" t="s">
        <v>269</v>
      </c>
      <c r="R32" s="4">
        <v>46.65</v>
      </c>
      <c r="S32" s="4">
        <v>0.95699999999999996</v>
      </c>
      <c r="T32" s="4">
        <v>15.35</v>
      </c>
      <c r="U32" s="4">
        <v>11.75</v>
      </c>
      <c r="W32" s="27">
        <v>0.19900000000000001</v>
      </c>
      <c r="X32" s="4">
        <v>9.14</v>
      </c>
      <c r="Y32" s="4">
        <v>11.04</v>
      </c>
      <c r="Z32" s="4">
        <v>2.09</v>
      </c>
      <c r="AA32" s="4">
        <v>0.11</v>
      </c>
      <c r="AB32" s="4">
        <v>6.8000000000000005E-2</v>
      </c>
      <c r="AC32" s="9">
        <v>1.96</v>
      </c>
      <c r="AD32" s="21">
        <f t="shared" si="16"/>
        <v>99.313999999999979</v>
      </c>
      <c r="AE32" s="21">
        <f t="shared" si="17"/>
        <v>10.56325</v>
      </c>
      <c r="AF32" s="23">
        <f t="shared" si="18"/>
        <v>0.60669123483436849</v>
      </c>
      <c r="AH32" s="16">
        <f t="shared" si="19"/>
        <v>47.917907841485722</v>
      </c>
      <c r="AI32" s="16">
        <f t="shared" si="20"/>
        <v>0.98301045668385501</v>
      </c>
      <c r="AJ32" s="16">
        <f t="shared" si="21"/>
        <v>15.767200115044069</v>
      </c>
      <c r="AK32" s="16">
        <f t="shared" si="22"/>
        <v>12.069355136922985</v>
      </c>
      <c r="AL32" s="16">
        <f t="shared" si="23"/>
        <v>0</v>
      </c>
      <c r="AM32" s="16">
        <f t="shared" si="24"/>
        <v>0.20440865295724886</v>
      </c>
      <c r="AN32" s="16">
        <f t="shared" si="25"/>
        <v>9.3884175277851973</v>
      </c>
      <c r="AO32" s="16">
        <f t="shared" si="26"/>
        <v>11.340057932904658</v>
      </c>
      <c r="AP32" s="16">
        <f t="shared" si="27"/>
        <v>2.1468044456314073</v>
      </c>
      <c r="AQ32" s="16">
        <f t="shared" si="28"/>
        <v>0.11298970766481091</v>
      </c>
      <c r="AR32" s="16">
        <f t="shared" si="29"/>
        <v>6.9848182920064936E-2</v>
      </c>
      <c r="AS32" s="16">
        <f t="shared" si="30"/>
        <v>100.00000000000001</v>
      </c>
      <c r="AT32" s="16">
        <f t="shared" si="31"/>
        <v>10.850350268093763</v>
      </c>
      <c r="AV32" s="1" t="s">
        <v>401</v>
      </c>
      <c r="AW32" s="69">
        <v>4.1224736966962663</v>
      </c>
      <c r="AX32" s="69">
        <v>0.23175263466507218</v>
      </c>
      <c r="AY32" s="69">
        <v>46.295719230272553</v>
      </c>
      <c r="AZ32" s="69">
        <v>304.85937900411875</v>
      </c>
      <c r="BA32" s="69"/>
      <c r="BB32" s="69">
        <v>323.25116901573517</v>
      </c>
      <c r="BC32" s="69"/>
      <c r="BD32" s="69">
        <v>53.482578398980358</v>
      </c>
      <c r="BE32" s="69"/>
      <c r="BF32" s="69">
        <v>136.91217147084802</v>
      </c>
      <c r="BG32" s="69"/>
      <c r="BH32" s="69">
        <v>167.10768971547583</v>
      </c>
      <c r="BI32" s="69"/>
      <c r="BJ32" s="69">
        <v>71.658280440252611</v>
      </c>
      <c r="BK32" s="69"/>
      <c r="BL32" s="69">
        <v>15.911409275835883</v>
      </c>
      <c r="BM32" s="69"/>
      <c r="BN32" s="69">
        <v>1.4674916806519309</v>
      </c>
      <c r="BP32" s="69">
        <v>89.366343436398651</v>
      </c>
      <c r="BQ32" s="69"/>
      <c r="BR32" s="69">
        <v>25.297539292654434</v>
      </c>
      <c r="BS32" s="69"/>
      <c r="BT32" s="69">
        <v>53.716185589501038</v>
      </c>
      <c r="BV32" s="9">
        <v>1.5226626646910033</v>
      </c>
      <c r="BZ32" s="9">
        <v>9.3423790170681018E-2</v>
      </c>
      <c r="CA32" s="9">
        <v>29.953064892212712</v>
      </c>
      <c r="CB32" s="9">
        <v>2.1674319904621946</v>
      </c>
      <c r="CC32" s="9">
        <v>5.701523059504507</v>
      </c>
      <c r="CD32" s="9">
        <v>0.95707552712584232</v>
      </c>
      <c r="CE32" s="9">
        <v>5.3544709889869821</v>
      </c>
      <c r="CF32" s="9">
        <v>2.2804367695324914</v>
      </c>
      <c r="CG32" s="9">
        <v>0.91564569478884361</v>
      </c>
      <c r="CH32" s="9">
        <v>3.4165956552588592</v>
      </c>
      <c r="CI32" s="9">
        <v>0.64535757923838499</v>
      </c>
      <c r="CJ32" s="9">
        <v>4.2464599500910749</v>
      </c>
      <c r="CK32" s="9">
        <v>0.96735935339498136</v>
      </c>
      <c r="CL32" s="9">
        <v>2.773680190117644</v>
      </c>
      <c r="CM32" s="9">
        <v>0.42277900651003919</v>
      </c>
      <c r="CN32" s="9">
        <v>2.6789094125015978</v>
      </c>
      <c r="CO32" s="9">
        <v>0.42322737060827842</v>
      </c>
      <c r="CP32" s="9">
        <v>1.5473529055857538</v>
      </c>
      <c r="CQ32" s="9">
        <v>9.5211553824448444E-2</v>
      </c>
      <c r="CR32" s="9">
        <v>0.41195600371980029</v>
      </c>
      <c r="CS32" s="9">
        <v>0.30923766945036196</v>
      </c>
      <c r="CT32" s="9">
        <v>5.9477115742663234E-2</v>
      </c>
    </row>
    <row r="33" spans="1:98">
      <c r="A33" s="1" t="s">
        <v>271</v>
      </c>
      <c r="B33" s="1" t="s">
        <v>263</v>
      </c>
      <c r="C33" s="1" t="s">
        <v>773</v>
      </c>
      <c r="D33" s="62">
        <v>64.964782</v>
      </c>
      <c r="E33" s="62">
        <v>2.729222</v>
      </c>
      <c r="I33" s="9">
        <v>99.95</v>
      </c>
      <c r="J33" s="1" t="s">
        <v>256</v>
      </c>
      <c r="K33" s="1" t="s">
        <v>52</v>
      </c>
      <c r="L33" s="1" t="s">
        <v>864</v>
      </c>
      <c r="M33" s="78" t="s">
        <v>862</v>
      </c>
      <c r="N33" s="78"/>
      <c r="P33" s="1" t="s">
        <v>262</v>
      </c>
      <c r="Q33" s="1" t="s">
        <v>269</v>
      </c>
      <c r="R33" s="4">
        <v>43.25</v>
      </c>
      <c r="S33" s="4">
        <v>1.417</v>
      </c>
      <c r="T33" s="4">
        <v>15.59</v>
      </c>
      <c r="U33" s="4">
        <v>16.079999999999998</v>
      </c>
      <c r="W33" s="28">
        <v>0.24099999999999999</v>
      </c>
      <c r="X33" s="4">
        <v>7.53</v>
      </c>
      <c r="Y33" s="4">
        <v>7.19</v>
      </c>
      <c r="Z33" s="4">
        <v>0.42</v>
      </c>
      <c r="AA33" s="4">
        <v>0.21</v>
      </c>
      <c r="AB33" s="4">
        <v>6.0999999999999999E-2</v>
      </c>
      <c r="AC33" s="9">
        <v>8.39</v>
      </c>
      <c r="AD33" s="21">
        <f t="shared" si="16"/>
        <v>100.379</v>
      </c>
      <c r="AE33" s="21">
        <f t="shared" si="17"/>
        <v>14.455919999999999</v>
      </c>
      <c r="AF33" s="23">
        <f t="shared" si="18"/>
        <v>0.48149262306228047</v>
      </c>
      <c r="AH33" s="16">
        <f t="shared" si="19"/>
        <v>47.016491102197001</v>
      </c>
      <c r="AI33" s="16">
        <f t="shared" si="20"/>
        <v>1.5404015697529054</v>
      </c>
      <c r="AJ33" s="16">
        <f t="shared" si="21"/>
        <v>16.947678526780376</v>
      </c>
      <c r="AK33" s="16">
        <f t="shared" si="22"/>
        <v>17.480350911522027</v>
      </c>
      <c r="AL33" s="16">
        <f t="shared" si="23"/>
        <v>0</v>
      </c>
      <c r="AM33" s="16">
        <f t="shared" si="24"/>
        <v>0.26198784637293587</v>
      </c>
      <c r="AN33" s="16">
        <f t="shared" si="25"/>
        <v>8.1857613410299059</v>
      </c>
      <c r="AO33" s="16">
        <f t="shared" si="26"/>
        <v>7.8161519312091663</v>
      </c>
      <c r="AP33" s="16">
        <f t="shared" si="27"/>
        <v>0.45657632977856044</v>
      </c>
      <c r="AQ33" s="16">
        <f t="shared" si="28"/>
        <v>0.22828816488928022</v>
      </c>
      <c r="AR33" s="16">
        <f t="shared" si="29"/>
        <v>6.6312276467838535E-2</v>
      </c>
      <c r="AS33" s="16">
        <f t="shared" si="30"/>
        <v>99.999999999999986</v>
      </c>
      <c r="AT33" s="16">
        <f t="shared" si="31"/>
        <v>15.714835469458302</v>
      </c>
      <c r="AV33" s="1" t="s">
        <v>401</v>
      </c>
      <c r="AW33" s="69">
        <v>18.394457615038618</v>
      </c>
      <c r="AX33" s="69">
        <v>0.40738214063507294</v>
      </c>
      <c r="AY33" s="69">
        <v>62.705048757887511</v>
      </c>
      <c r="AZ33" s="69">
        <v>291.51245985259868</v>
      </c>
      <c r="BA33" s="69"/>
      <c r="BB33" s="69">
        <v>263.45391269794948</v>
      </c>
      <c r="BC33" s="69"/>
      <c r="BD33" s="69">
        <v>62.01150119093117</v>
      </c>
      <c r="BE33" s="69"/>
      <c r="BF33" s="69">
        <v>70.475702925283471</v>
      </c>
      <c r="BG33" s="69"/>
      <c r="BH33" s="69">
        <v>214.23650383272283</v>
      </c>
      <c r="BI33" s="69"/>
      <c r="BJ33" s="69">
        <v>102.14821516910906</v>
      </c>
      <c r="BK33" s="69"/>
      <c r="BL33" s="69">
        <v>19.117788393346245</v>
      </c>
      <c r="BM33" s="69"/>
      <c r="BN33" s="69">
        <v>1.4953189727597274</v>
      </c>
      <c r="BP33" s="69">
        <v>35.848327019691958</v>
      </c>
      <c r="BQ33" s="69"/>
      <c r="BR33" s="69">
        <v>39.893376888996997</v>
      </c>
      <c r="BS33" s="69"/>
      <c r="BT33" s="69">
        <v>81.923928550231523</v>
      </c>
      <c r="BV33" s="9">
        <v>1.4298182013496714</v>
      </c>
      <c r="BZ33" s="9">
        <v>6.6210812631499028E-2</v>
      </c>
      <c r="CA33" s="9">
        <v>8.4721600287220937</v>
      </c>
      <c r="CB33" s="9">
        <v>3.1588258665146229</v>
      </c>
      <c r="CC33" s="9">
        <v>9.0707950724657103</v>
      </c>
      <c r="CD33" s="9">
        <v>1.6620885095014128</v>
      </c>
      <c r="CE33" s="9">
        <v>9.2096950283216739</v>
      </c>
      <c r="CF33" s="9">
        <v>3.9684310714234869</v>
      </c>
      <c r="CG33" s="9">
        <v>1.4952953989779074</v>
      </c>
      <c r="CH33" s="9">
        <v>5.5954723012786225</v>
      </c>
      <c r="CI33" s="9">
        <v>1.08689030511731</v>
      </c>
      <c r="CJ33" s="9">
        <v>7.0711723975004936</v>
      </c>
      <c r="CK33" s="9">
        <v>1.5733407504559371</v>
      </c>
      <c r="CL33" s="9">
        <v>4.585534126927751</v>
      </c>
      <c r="CM33" s="9">
        <v>0.69496317991017398</v>
      </c>
      <c r="CN33" s="9">
        <v>4.4216512904015861</v>
      </c>
      <c r="CO33" s="9">
        <v>0.70183663300817001</v>
      </c>
      <c r="CP33" s="9">
        <v>2.4420671560388927</v>
      </c>
      <c r="CQ33" s="9">
        <v>0.10630979349906643</v>
      </c>
      <c r="CR33" s="9">
        <v>1.7106362788792131</v>
      </c>
      <c r="CS33" s="9">
        <v>0.84097271544243479</v>
      </c>
      <c r="CT33" s="9">
        <v>0.17170515675547346</v>
      </c>
    </row>
    <row r="34" spans="1:98">
      <c r="A34" s="1" t="s">
        <v>271</v>
      </c>
      <c r="B34" s="1" t="s">
        <v>263</v>
      </c>
      <c r="C34" s="1" t="s">
        <v>774</v>
      </c>
      <c r="D34" s="62">
        <v>64.964782</v>
      </c>
      <c r="E34" s="62">
        <v>2.729222</v>
      </c>
      <c r="I34" s="9">
        <v>105.05</v>
      </c>
      <c r="J34" s="1" t="s">
        <v>256</v>
      </c>
      <c r="K34" s="1" t="s">
        <v>52</v>
      </c>
      <c r="L34" s="1" t="s">
        <v>864</v>
      </c>
      <c r="M34" s="78" t="s">
        <v>862</v>
      </c>
      <c r="N34" s="78"/>
      <c r="P34" s="1" t="s">
        <v>262</v>
      </c>
      <c r="Q34" s="1" t="s">
        <v>269</v>
      </c>
      <c r="R34" s="4">
        <v>47.36</v>
      </c>
      <c r="S34" s="4">
        <v>1.3109999999999999</v>
      </c>
      <c r="T34" s="4">
        <v>13.33</v>
      </c>
      <c r="U34" s="4">
        <v>14.05</v>
      </c>
      <c r="W34" s="27">
        <v>0.221</v>
      </c>
      <c r="X34" s="4">
        <v>8.36</v>
      </c>
      <c r="Y34" s="4">
        <v>10.41</v>
      </c>
      <c r="Z34" s="4">
        <v>1.94</v>
      </c>
      <c r="AA34" s="4">
        <v>0.19</v>
      </c>
      <c r="AB34" s="4">
        <v>8.2000000000000003E-2</v>
      </c>
      <c r="AC34" s="9">
        <v>2.4</v>
      </c>
      <c r="AD34" s="21">
        <f t="shared" si="16"/>
        <v>99.653999999999996</v>
      </c>
      <c r="AE34" s="21">
        <f t="shared" si="17"/>
        <v>12.63095</v>
      </c>
      <c r="AF34" s="23">
        <f t="shared" si="18"/>
        <v>0.54126937433149958</v>
      </c>
      <c r="AH34" s="16">
        <f t="shared" si="19"/>
        <v>48.697225821045926</v>
      </c>
      <c r="AI34" s="16">
        <f t="shared" si="20"/>
        <v>1.3480165340243075</v>
      </c>
      <c r="AJ34" s="16">
        <f t="shared" si="21"/>
        <v>13.706377115594218</v>
      </c>
      <c r="AK34" s="16">
        <f t="shared" si="22"/>
        <v>14.446706562197956</v>
      </c>
      <c r="AL34" s="16">
        <f t="shared" si="23"/>
        <v>0</v>
      </c>
      <c r="AM34" s="16">
        <f t="shared" si="24"/>
        <v>0.2272400106936476</v>
      </c>
      <c r="AN34" s="16">
        <f t="shared" si="25"/>
        <v>8.5960474633434103</v>
      </c>
      <c r="AO34" s="16">
        <f t="shared" si="26"/>
        <v>10.703929915479057</v>
      </c>
      <c r="AP34" s="16">
        <f t="shared" si="27"/>
        <v>1.9947765644600739</v>
      </c>
      <c r="AQ34" s="16">
        <f t="shared" si="28"/>
        <v>0.1953647150759866</v>
      </c>
      <c r="AR34" s="16">
        <f t="shared" si="29"/>
        <v>8.4315298085425816E-2</v>
      </c>
      <c r="AS34" s="16">
        <f t="shared" si="30"/>
        <v>100</v>
      </c>
      <c r="AT34" s="16">
        <f t="shared" si="31"/>
        <v>12.987589199415963</v>
      </c>
      <c r="AV34" s="1" t="s">
        <v>401</v>
      </c>
      <c r="AW34" s="69">
        <v>12.895730643121157</v>
      </c>
      <c r="AX34" s="69">
        <v>0.36457232828640823</v>
      </c>
      <c r="AY34" s="69">
        <v>56.856178170026965</v>
      </c>
      <c r="AZ34" s="69">
        <v>406.43959476525799</v>
      </c>
      <c r="BA34" s="69"/>
      <c r="BB34" s="69">
        <v>190.31842569634563</v>
      </c>
      <c r="BC34" s="69"/>
      <c r="BD34" s="69">
        <v>52.014875264194792</v>
      </c>
      <c r="BE34" s="69"/>
      <c r="BF34" s="69">
        <v>58.147618712691333</v>
      </c>
      <c r="BG34" s="69"/>
      <c r="BH34" s="69">
        <v>98.757741509459024</v>
      </c>
      <c r="BI34" s="69"/>
      <c r="BJ34" s="69">
        <v>96.304750569001371</v>
      </c>
      <c r="BK34" s="69"/>
      <c r="BL34" s="69">
        <v>17.768716685710388</v>
      </c>
      <c r="BM34" s="69"/>
      <c r="BN34" s="69">
        <v>3.781064048438695</v>
      </c>
      <c r="BP34" s="69">
        <v>77.803877511432333</v>
      </c>
      <c r="BQ34" s="69"/>
      <c r="BR34" s="69">
        <v>35.264927753520212</v>
      </c>
      <c r="BS34" s="69"/>
      <c r="BT34" s="69">
        <v>83.210856612370492</v>
      </c>
      <c r="BV34" s="9">
        <v>1.6938302980219739</v>
      </c>
      <c r="BZ34" s="9">
        <v>0.66272721459510942</v>
      </c>
      <c r="CA34" s="9">
        <v>32.325467751846148</v>
      </c>
      <c r="CB34" s="9">
        <v>3.755302592420835</v>
      </c>
      <c r="CC34" s="9">
        <v>9.6561094810911516</v>
      </c>
      <c r="CD34" s="9">
        <v>1.4762161696916434</v>
      </c>
      <c r="CE34" s="9">
        <v>7.855384105698251</v>
      </c>
      <c r="CF34" s="9">
        <v>3.2269889908159612</v>
      </c>
      <c r="CG34" s="9">
        <v>1.2071077402324022</v>
      </c>
      <c r="CH34" s="9">
        <v>4.5791029171966215</v>
      </c>
      <c r="CI34" s="9">
        <v>0.91389632124238973</v>
      </c>
      <c r="CJ34" s="9">
        <v>6.0285528498798406</v>
      </c>
      <c r="CK34" s="9">
        <v>1.3553694270629975</v>
      </c>
      <c r="CL34" s="9">
        <v>3.9157461592535525</v>
      </c>
      <c r="CM34" s="9">
        <v>0.60032074646642097</v>
      </c>
      <c r="CN34" s="9">
        <v>3.8506172719606102</v>
      </c>
      <c r="CO34" s="9">
        <v>0.61023535157442188</v>
      </c>
      <c r="CP34" s="9">
        <v>2.4434449374110589</v>
      </c>
      <c r="CQ34" s="9">
        <v>0.12124528706078889</v>
      </c>
      <c r="CR34" s="9">
        <v>1.795817581499165</v>
      </c>
      <c r="CS34" s="9">
        <v>1.0955756595895092</v>
      </c>
      <c r="CT34" s="9">
        <v>0.15088820803771688</v>
      </c>
    </row>
    <row r="35" spans="1:98">
      <c r="A35" s="1" t="s">
        <v>271</v>
      </c>
      <c r="B35" s="1" t="s">
        <v>263</v>
      </c>
      <c r="C35" s="1" t="s">
        <v>775</v>
      </c>
      <c r="D35" s="62">
        <v>64.964782</v>
      </c>
      <c r="E35" s="62">
        <v>2.729222</v>
      </c>
      <c r="I35" s="9">
        <v>115.52500000000001</v>
      </c>
      <c r="J35" s="1" t="s">
        <v>256</v>
      </c>
      <c r="K35" s="1" t="s">
        <v>52</v>
      </c>
      <c r="L35" s="1" t="s">
        <v>864</v>
      </c>
      <c r="M35" s="78" t="s">
        <v>862</v>
      </c>
      <c r="N35" s="78"/>
      <c r="P35" s="1" t="s">
        <v>262</v>
      </c>
      <c r="Q35" s="1" t="s">
        <v>269</v>
      </c>
      <c r="R35" s="4">
        <v>45.71</v>
      </c>
      <c r="S35" s="4">
        <v>1.5055000000000001</v>
      </c>
      <c r="T35" s="4">
        <v>13.36</v>
      </c>
      <c r="U35" s="4">
        <v>15.34</v>
      </c>
      <c r="W35" s="27">
        <v>0.26800000000000002</v>
      </c>
      <c r="X35" s="4">
        <v>6.92</v>
      </c>
      <c r="Y35" s="4">
        <v>9.8699999999999992</v>
      </c>
      <c r="Z35" s="4">
        <v>1.91</v>
      </c>
      <c r="AA35" s="4">
        <v>0.2</v>
      </c>
      <c r="AB35" s="4">
        <v>0.11700000000000001</v>
      </c>
      <c r="AC35" s="9">
        <v>3.71</v>
      </c>
      <c r="AD35" s="21">
        <f t="shared" si="16"/>
        <v>98.910499999999999</v>
      </c>
      <c r="AE35" s="21">
        <f t="shared" si="17"/>
        <v>13.790660000000001</v>
      </c>
      <c r="AF35" s="23">
        <f t="shared" si="18"/>
        <v>0.47217125183834946</v>
      </c>
      <c r="AH35" s="16">
        <f t="shared" si="19"/>
        <v>48.014453705600282</v>
      </c>
      <c r="AI35" s="16">
        <f t="shared" si="20"/>
        <v>1.5813992573568416</v>
      </c>
      <c r="AJ35" s="16">
        <f t="shared" si="21"/>
        <v>14.033539739812291</v>
      </c>
      <c r="AK35" s="16">
        <f t="shared" si="22"/>
        <v>16.113360749155728</v>
      </c>
      <c r="AL35" s="16">
        <f t="shared" si="23"/>
        <v>0</v>
      </c>
      <c r="AM35" s="16">
        <f t="shared" si="24"/>
        <v>0.28151112651719268</v>
      </c>
      <c r="AN35" s="16">
        <f t="shared" si="25"/>
        <v>7.2688693861901985</v>
      </c>
      <c r="AO35" s="16">
        <f t="shared" si="26"/>
        <v>10.367592607181683</v>
      </c>
      <c r="AP35" s="16">
        <f t="shared" si="27"/>
        <v>2.0062919837605895</v>
      </c>
      <c r="AQ35" s="16">
        <f t="shared" si="28"/>
        <v>0.21008293023671093</v>
      </c>
      <c r="AR35" s="16">
        <f t="shared" si="29"/>
        <v>0.1228985141884759</v>
      </c>
      <c r="AS35" s="16">
        <f t="shared" si="30"/>
        <v>99.999999999999986</v>
      </c>
      <c r="AT35" s="16">
        <f t="shared" si="31"/>
        <v>14.485911313491</v>
      </c>
      <c r="AV35" s="1" t="s">
        <v>401</v>
      </c>
      <c r="AW35" s="69">
        <v>12.970155381559803</v>
      </c>
      <c r="AX35" s="69">
        <v>0.47380222871298117</v>
      </c>
      <c r="AY35" s="69">
        <v>56.076756261318792</v>
      </c>
      <c r="AZ35" s="69">
        <v>423.28981472020587</v>
      </c>
      <c r="BA35" s="69"/>
      <c r="BB35" s="69">
        <v>37.472370204532034</v>
      </c>
      <c r="BC35" s="69"/>
      <c r="BD35" s="69">
        <v>50.622932526174715</v>
      </c>
      <c r="BE35" s="69"/>
      <c r="BF35" s="69">
        <v>39.564918639942526</v>
      </c>
      <c r="BG35" s="69"/>
      <c r="BH35" s="69">
        <v>67.959886479516925</v>
      </c>
      <c r="BI35" s="69"/>
      <c r="BJ35" s="69">
        <v>99.34378576058954</v>
      </c>
      <c r="BK35" s="69"/>
      <c r="BL35" s="69">
        <v>18.530005521978097</v>
      </c>
      <c r="BM35" s="69"/>
      <c r="BN35" s="69">
        <v>2.1969327169264425</v>
      </c>
      <c r="BP35" s="69">
        <v>87.225854764017015</v>
      </c>
      <c r="BQ35" s="69"/>
      <c r="BR35" s="69">
        <v>37.736689050444824</v>
      </c>
      <c r="BS35" s="69"/>
      <c r="BT35" s="69">
        <v>100.97254017223092</v>
      </c>
      <c r="BV35" s="9">
        <v>2.3795837746888973</v>
      </c>
      <c r="BZ35" s="9">
        <v>0.52138139958719576</v>
      </c>
      <c r="CA35" s="9">
        <v>37.497087263474583</v>
      </c>
      <c r="CB35" s="9">
        <v>5.1947286111837574</v>
      </c>
      <c r="CC35" s="9">
        <v>13.34609534565784</v>
      </c>
      <c r="CD35" s="9">
        <v>1.9646370622075833</v>
      </c>
      <c r="CE35" s="9">
        <v>9.6631356275735083</v>
      </c>
      <c r="CF35" s="9">
        <v>3.7373197545546502</v>
      </c>
      <c r="CG35" s="9">
        <v>1.3465646700010845</v>
      </c>
      <c r="CH35" s="9">
        <v>5.2423255243660796</v>
      </c>
      <c r="CI35" s="9">
        <v>0.98006139641321177</v>
      </c>
      <c r="CJ35" s="9">
        <v>6.5376131723669273</v>
      </c>
      <c r="CK35" s="9">
        <v>1.448115400284719</v>
      </c>
      <c r="CL35" s="9">
        <v>4.1676001537308638</v>
      </c>
      <c r="CM35" s="9">
        <v>0.65174950783071683</v>
      </c>
      <c r="CN35" s="9">
        <v>4.0881206926470721</v>
      </c>
      <c r="CO35" s="9">
        <v>0.65408767190306949</v>
      </c>
      <c r="CP35" s="9">
        <v>2.9016918712868645</v>
      </c>
      <c r="CQ35" s="9">
        <v>0.16791565037679126</v>
      </c>
      <c r="CR35" s="9">
        <v>2.5416387777685783</v>
      </c>
      <c r="CS35" s="9">
        <v>1.5560542191459297</v>
      </c>
      <c r="CT35" s="9">
        <v>0.19403485424411032</v>
      </c>
    </row>
    <row r="36" spans="1:98">
      <c r="A36" s="1" t="s">
        <v>271</v>
      </c>
      <c r="B36" s="1" t="s">
        <v>263</v>
      </c>
      <c r="C36" s="1" t="s">
        <v>776</v>
      </c>
      <c r="D36" s="62">
        <v>64.964782</v>
      </c>
      <c r="E36" s="62">
        <v>2.729222</v>
      </c>
      <c r="I36" s="9">
        <v>135.29</v>
      </c>
      <c r="J36" s="1" t="s">
        <v>256</v>
      </c>
      <c r="K36" s="1" t="s">
        <v>52</v>
      </c>
      <c r="L36" s="1" t="s">
        <v>864</v>
      </c>
      <c r="M36" s="78" t="s">
        <v>862</v>
      </c>
      <c r="N36" s="78"/>
      <c r="P36" s="1" t="s">
        <v>262</v>
      </c>
      <c r="Q36" s="1" t="s">
        <v>269</v>
      </c>
      <c r="R36" s="4">
        <v>48.47</v>
      </c>
      <c r="S36" s="4">
        <v>0.97</v>
      </c>
      <c r="T36" s="4">
        <v>14.6</v>
      </c>
      <c r="U36" s="4">
        <v>10.039999999999999</v>
      </c>
      <c r="W36" s="27">
        <v>0.184</v>
      </c>
      <c r="X36" s="4">
        <v>7.96</v>
      </c>
      <c r="Y36" s="4">
        <v>10.59</v>
      </c>
      <c r="Z36" s="4">
        <v>1.91</v>
      </c>
      <c r="AA36" s="4">
        <v>0.1</v>
      </c>
      <c r="AB36" s="4">
        <v>4.9000000000000002E-2</v>
      </c>
      <c r="AC36" s="9">
        <v>3.95</v>
      </c>
      <c r="AD36" s="21">
        <f t="shared" si="16"/>
        <v>98.822999999999979</v>
      </c>
      <c r="AE36" s="21">
        <f t="shared" si="17"/>
        <v>9.0259599999999995</v>
      </c>
      <c r="AF36" s="23">
        <f t="shared" si="18"/>
        <v>0.61122628149251357</v>
      </c>
      <c r="AH36" s="16">
        <f t="shared" si="19"/>
        <v>51.089351027162643</v>
      </c>
      <c r="AI36" s="16">
        <f t="shared" si="20"/>
        <v>1.0224194449421862</v>
      </c>
      <c r="AJ36" s="16">
        <f t="shared" si="21"/>
        <v>15.388993707377235</v>
      </c>
      <c r="AK36" s="16">
        <f t="shared" si="22"/>
        <v>10.58256827548407</v>
      </c>
      <c r="AL36" s="16">
        <f t="shared" si="23"/>
        <v>0</v>
      </c>
      <c r="AM36" s="16">
        <f t="shared" si="24"/>
        <v>0.1939434823395487</v>
      </c>
      <c r="AN36" s="16">
        <f t="shared" si="25"/>
        <v>8.3901636925152587</v>
      </c>
      <c r="AO36" s="16">
        <f t="shared" si="26"/>
        <v>11.162290641172939</v>
      </c>
      <c r="AP36" s="16">
        <f t="shared" si="27"/>
        <v>2.0132176699377067</v>
      </c>
      <c r="AQ36" s="16">
        <f t="shared" si="28"/>
        <v>0.10540406648888517</v>
      </c>
      <c r="AR36" s="16">
        <f t="shared" si="29"/>
        <v>5.1647992579553735E-2</v>
      </c>
      <c r="AS36" s="16">
        <f t="shared" si="30"/>
        <v>100.00000000000003</v>
      </c>
      <c r="AT36" s="16">
        <f t="shared" si="31"/>
        <v>9.513728879660178</v>
      </c>
      <c r="AV36" s="1" t="s">
        <v>401</v>
      </c>
      <c r="AW36" s="69">
        <v>19.202628038869559</v>
      </c>
      <c r="AX36" s="69">
        <v>0.24132116878130183</v>
      </c>
      <c r="AY36" s="69">
        <v>56.943603918808371</v>
      </c>
      <c r="AZ36" s="69">
        <v>337.88349940852243</v>
      </c>
      <c r="BA36" s="69"/>
      <c r="BB36" s="69">
        <v>512.19741252234007</v>
      </c>
      <c r="BC36" s="69"/>
      <c r="BD36" s="69">
        <v>48.936681596727361</v>
      </c>
      <c r="BE36" s="69"/>
      <c r="BF36" s="69">
        <v>68.636740920973708</v>
      </c>
      <c r="BG36" s="69"/>
      <c r="BH36" s="69">
        <v>65.773529373548286</v>
      </c>
      <c r="BI36" s="69"/>
      <c r="BJ36" s="69">
        <v>81.316838481034821</v>
      </c>
      <c r="BK36" s="69"/>
      <c r="BL36" s="69">
        <v>16.608584297780286</v>
      </c>
      <c r="BM36" s="69"/>
      <c r="BN36" s="69">
        <v>1.2223511708288701</v>
      </c>
      <c r="BP36" s="69">
        <v>83.609474567362312</v>
      </c>
      <c r="BQ36" s="69"/>
      <c r="BR36" s="69">
        <v>25.678115768214244</v>
      </c>
      <c r="BS36" s="69"/>
      <c r="BT36" s="69">
        <v>42.26926061190958</v>
      </c>
      <c r="BV36" s="9">
        <v>1.1522889771912628</v>
      </c>
      <c r="BZ36" s="9">
        <v>0.16492080746261403</v>
      </c>
      <c r="CA36" s="9">
        <v>16.53252500307882</v>
      </c>
      <c r="CB36" s="9">
        <v>2.153906455384361</v>
      </c>
      <c r="CC36" s="9">
        <v>5.5127309412928058</v>
      </c>
      <c r="CD36" s="9">
        <v>0.89644244120133776</v>
      </c>
      <c r="CE36" s="9">
        <v>4.9579151631237943</v>
      </c>
      <c r="CF36" s="9">
        <v>2.1807793876412296</v>
      </c>
      <c r="CG36" s="9">
        <v>0.94989400640204691</v>
      </c>
      <c r="CH36" s="9">
        <v>3.3184645011090819</v>
      </c>
      <c r="CI36" s="9">
        <v>0.65209782454411536</v>
      </c>
      <c r="CJ36" s="9">
        <v>4.3453553743799924</v>
      </c>
      <c r="CK36" s="9">
        <v>0.98588929799645597</v>
      </c>
      <c r="CL36" s="9">
        <v>2.8844372147064243</v>
      </c>
      <c r="CM36" s="9">
        <v>0.45031829231801102</v>
      </c>
      <c r="CN36" s="9">
        <v>2.9345541522136456</v>
      </c>
      <c r="CO36" s="9">
        <v>0.45427061825235149</v>
      </c>
      <c r="CP36" s="9">
        <v>1.362597949671343</v>
      </c>
      <c r="CQ36" s="9">
        <v>8.1728749164994355E-2</v>
      </c>
      <c r="CR36" s="9">
        <v>0.81082160385501778</v>
      </c>
      <c r="CS36" s="9">
        <v>0.18222345334097376</v>
      </c>
      <c r="CT36" s="9">
        <v>7.4403263825299326E-2</v>
      </c>
    </row>
    <row r="37" spans="1:98">
      <c r="A37" s="1" t="s">
        <v>271</v>
      </c>
      <c r="B37" s="1" t="s">
        <v>263</v>
      </c>
      <c r="C37" s="1" t="s">
        <v>777</v>
      </c>
      <c r="D37" s="62">
        <v>64.964782</v>
      </c>
      <c r="E37" s="62">
        <v>2.729222</v>
      </c>
      <c r="I37" s="9">
        <v>146.13</v>
      </c>
      <c r="J37" s="1" t="s">
        <v>256</v>
      </c>
      <c r="K37" s="1" t="s">
        <v>52</v>
      </c>
      <c r="L37" s="1" t="s">
        <v>864</v>
      </c>
      <c r="M37" s="78" t="s">
        <v>862</v>
      </c>
      <c r="N37" s="78"/>
      <c r="P37" s="1" t="s">
        <v>262</v>
      </c>
      <c r="Q37" s="1" t="s">
        <v>269</v>
      </c>
      <c r="R37" s="4">
        <v>47.98</v>
      </c>
      <c r="S37" s="4">
        <v>1.1100000000000001</v>
      </c>
      <c r="T37" s="4">
        <v>15.15</v>
      </c>
      <c r="U37" s="4">
        <v>11.77</v>
      </c>
      <c r="W37" s="27">
        <v>0.22600000000000001</v>
      </c>
      <c r="X37" s="4">
        <v>8.09</v>
      </c>
      <c r="Y37" s="4">
        <v>11.44</v>
      </c>
      <c r="Z37" s="4">
        <v>1.89</v>
      </c>
      <c r="AA37" s="4">
        <v>0.1</v>
      </c>
      <c r="AB37" s="4">
        <v>7.9000000000000001E-2</v>
      </c>
      <c r="AC37" s="9">
        <v>2.09</v>
      </c>
      <c r="AD37" s="21">
        <f t="shared" si="16"/>
        <v>99.924999999999983</v>
      </c>
      <c r="AE37" s="21">
        <f t="shared" si="17"/>
        <v>10.58123</v>
      </c>
      <c r="AF37" s="23">
        <f t="shared" si="18"/>
        <v>0.57681024776421252</v>
      </c>
      <c r="AH37" s="16">
        <f t="shared" si="19"/>
        <v>49.041753973526866</v>
      </c>
      <c r="AI37" s="16">
        <f t="shared" si="20"/>
        <v>1.1345632953442024</v>
      </c>
      <c r="AJ37" s="16">
        <f t="shared" si="21"/>
        <v>15.485255787806004</v>
      </c>
      <c r="AK37" s="16">
        <f t="shared" si="22"/>
        <v>12.030459447028163</v>
      </c>
      <c r="AL37" s="16">
        <f t="shared" si="23"/>
        <v>0</v>
      </c>
      <c r="AM37" s="16">
        <f t="shared" si="24"/>
        <v>0.23100117544845919</v>
      </c>
      <c r="AN37" s="16">
        <f t="shared" si="25"/>
        <v>8.2690243777789156</v>
      </c>
      <c r="AO37" s="16">
        <f t="shared" si="26"/>
        <v>11.693156845709616</v>
      </c>
      <c r="AP37" s="16">
        <f t="shared" si="27"/>
        <v>1.9318239893698579</v>
      </c>
      <c r="AQ37" s="16">
        <f t="shared" si="28"/>
        <v>0.10221290949046867</v>
      </c>
      <c r="AR37" s="16">
        <f t="shared" si="29"/>
        <v>8.0748198497470253E-2</v>
      </c>
      <c r="AS37" s="16">
        <f t="shared" si="30"/>
        <v>100.00000000000003</v>
      </c>
      <c r="AT37" s="16">
        <f t="shared" si="31"/>
        <v>10.815383042878318</v>
      </c>
      <c r="AV37" s="1" t="s">
        <v>401</v>
      </c>
      <c r="AW37" s="69">
        <v>29.871515978683792</v>
      </c>
      <c r="AX37" s="69">
        <v>0.31271572926156421</v>
      </c>
      <c r="AY37" s="69">
        <v>53.087857184988607</v>
      </c>
      <c r="AZ37" s="69">
        <v>324.15532038598474</v>
      </c>
      <c r="BA37" s="69"/>
      <c r="BB37" s="69">
        <v>463.26922844730444</v>
      </c>
      <c r="BC37" s="69"/>
      <c r="BD37" s="69">
        <v>45.752429410918694</v>
      </c>
      <c r="BE37" s="69"/>
      <c r="BF37" s="69">
        <v>55.816287358281286</v>
      </c>
      <c r="BG37" s="69"/>
      <c r="BH37" s="69">
        <v>36.273775249180723</v>
      </c>
      <c r="BI37" s="69"/>
      <c r="BJ37" s="69">
        <v>78.680074498129741</v>
      </c>
      <c r="BK37" s="69"/>
      <c r="BL37" s="69">
        <v>16.584911909094053</v>
      </c>
      <c r="BM37" s="69"/>
      <c r="BN37" s="69">
        <v>1.3970537046671323</v>
      </c>
      <c r="BP37" s="69">
        <v>95.435035009888196</v>
      </c>
      <c r="BQ37" s="69"/>
      <c r="BR37" s="69">
        <v>25.894920315114998</v>
      </c>
      <c r="BS37" s="69"/>
      <c r="BT37" s="69">
        <v>51.78961616682939</v>
      </c>
      <c r="BV37" s="9">
        <v>1.4555844314745559</v>
      </c>
      <c r="BZ37" s="9">
        <v>0.28044942626200037</v>
      </c>
      <c r="CA37" s="9">
        <v>20.998631330001228</v>
      </c>
      <c r="CB37" s="9">
        <v>2.5377335946767654</v>
      </c>
      <c r="CC37" s="9">
        <v>6.5275982234202807</v>
      </c>
      <c r="CD37" s="9">
        <v>1.0805766933044703</v>
      </c>
      <c r="CE37" s="9">
        <v>5.8301058393108525</v>
      </c>
      <c r="CF37" s="9">
        <v>2.3805361292632301</v>
      </c>
      <c r="CG37" s="9">
        <v>1.0456430419938583</v>
      </c>
      <c r="CH37" s="9">
        <v>3.5244735516893271</v>
      </c>
      <c r="CI37" s="9">
        <v>0.68219284781456813</v>
      </c>
      <c r="CJ37" s="9">
        <v>4.4939522190967782</v>
      </c>
      <c r="CK37" s="9">
        <v>1.0087280941371382</v>
      </c>
      <c r="CL37" s="9">
        <v>2.860599389091032</v>
      </c>
      <c r="CM37" s="9">
        <v>0.44220711670929225</v>
      </c>
      <c r="CN37" s="9">
        <v>2.7737084053464098</v>
      </c>
      <c r="CO37" s="9">
        <v>0.44366156534018525</v>
      </c>
      <c r="CP37" s="9">
        <v>1.6052570655294147</v>
      </c>
      <c r="CQ37" s="9">
        <v>0.10498940350330643</v>
      </c>
      <c r="CR37" s="9">
        <v>0.8167426388525324</v>
      </c>
      <c r="CS37" s="9">
        <v>0.15564373477444149</v>
      </c>
      <c r="CT37" s="9">
        <v>5.6917336139352952E-2</v>
      </c>
    </row>
    <row r="38" spans="1:98">
      <c r="A38" s="56" t="s">
        <v>654</v>
      </c>
      <c r="B38" s="16"/>
      <c r="C38" s="26"/>
      <c r="D38" s="30"/>
      <c r="E38" s="30"/>
      <c r="F38" s="16"/>
      <c r="G38" s="16"/>
      <c r="H38" s="16"/>
      <c r="I38" s="17"/>
      <c r="J38" s="16"/>
      <c r="K38" s="16"/>
      <c r="L38" s="16"/>
      <c r="M38" s="16"/>
      <c r="N38" s="16"/>
      <c r="O38" s="18"/>
      <c r="P38" s="12"/>
      <c r="Q38" s="16"/>
      <c r="R38" s="25"/>
      <c r="S38" s="25"/>
      <c r="T38" s="25"/>
      <c r="U38" s="25"/>
      <c r="V38" s="26"/>
      <c r="W38" s="25"/>
      <c r="X38" s="25"/>
      <c r="Y38" s="25"/>
      <c r="Z38" s="25"/>
      <c r="AA38" s="25"/>
      <c r="AB38" s="25"/>
      <c r="AC38" s="15"/>
      <c r="AD38" s="23"/>
      <c r="AE38" s="23"/>
      <c r="AF38" s="23"/>
      <c r="AG38" s="45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45"/>
      <c r="AV38" s="16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15"/>
      <c r="BP38" s="72"/>
      <c r="BQ38" s="72"/>
      <c r="BR38" s="72"/>
      <c r="BS38" s="72"/>
      <c r="BT38" s="72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</row>
    <row r="39" spans="1:98">
      <c r="A39" s="1" t="s">
        <v>271</v>
      </c>
      <c r="B39" s="1" t="s">
        <v>264</v>
      </c>
      <c r="C39" s="1" t="s">
        <v>729</v>
      </c>
      <c r="D39" s="55">
        <v>67.311111111111117</v>
      </c>
      <c r="E39" s="55">
        <v>3.7405555555555554</v>
      </c>
      <c r="I39" s="9">
        <v>143.01</v>
      </c>
      <c r="J39" s="1" t="s">
        <v>256</v>
      </c>
      <c r="K39" s="1" t="s">
        <v>52</v>
      </c>
      <c r="L39" s="1" t="s">
        <v>864</v>
      </c>
      <c r="M39" s="78" t="s">
        <v>862</v>
      </c>
      <c r="N39" s="78"/>
      <c r="P39" s="1" t="s">
        <v>815</v>
      </c>
      <c r="Q39" s="1" t="s">
        <v>286</v>
      </c>
      <c r="R39" s="4">
        <v>51.088999999999999</v>
      </c>
      <c r="S39" s="4">
        <v>1.4339999999999999</v>
      </c>
      <c r="T39" s="4">
        <v>15.909000000000001</v>
      </c>
      <c r="U39" s="4">
        <v>12.63</v>
      </c>
      <c r="W39" s="4">
        <v>0.182</v>
      </c>
      <c r="X39" s="4">
        <v>7.077</v>
      </c>
      <c r="Y39" s="4">
        <v>8.4589999999999996</v>
      </c>
      <c r="Z39" s="4">
        <v>2.9159999999999999</v>
      </c>
      <c r="AA39" s="4">
        <v>0.45300000000000001</v>
      </c>
      <c r="AB39" s="4">
        <v>0.13200000000000001</v>
      </c>
      <c r="AC39" s="9">
        <v>5.7311508351823459</v>
      </c>
      <c r="AD39" s="21">
        <f t="shared" ref="AD39:AD50" si="32">SUM(R39:AB39)</f>
        <v>100.28100000000001</v>
      </c>
      <c r="AE39" s="21">
        <f t="shared" ref="AE39:AE50" si="33">V39+0.899*U39</f>
        <v>11.354370000000001</v>
      </c>
      <c r="AF39" s="23">
        <f t="shared" ref="AF39:AF50" si="34">(X39/40.3)/((X39/40.3)+(AE39/71.844))</f>
        <v>0.52632389554050507</v>
      </c>
      <c r="AH39" s="16">
        <f t="shared" ref="AH39:AH50" si="35">100*R39/SUM($R39:$AB39)</f>
        <v>50.945842183464457</v>
      </c>
      <c r="AI39" s="16">
        <f t="shared" ref="AI39:AI50" si="36">100*S39/SUM($R39:$AB39)</f>
        <v>1.4299817512789061</v>
      </c>
      <c r="AJ39" s="16">
        <f t="shared" ref="AJ39:AJ50" si="37">100*T39/SUM($R39:$AB39)</f>
        <v>15.864420977054477</v>
      </c>
      <c r="AK39" s="16">
        <f t="shared" ref="AK39:AK50" si="38">100*U39/SUM($R39:$AB39)</f>
        <v>12.594609148293294</v>
      </c>
      <c r="AL39" s="16">
        <f t="shared" ref="AL39:AL50" si="39">100*V39/SUM($R39:$AB39)</f>
        <v>0</v>
      </c>
      <c r="AM39" s="16">
        <f t="shared" ref="AM39:AM50" si="40">100*W39/SUM($R39:$AB39)</f>
        <v>0.18149001306329213</v>
      </c>
      <c r="AN39" s="16">
        <f t="shared" ref="AN39:AN50" si="41">100*X39/SUM($R39:$AB39)</f>
        <v>7.0571693541149374</v>
      </c>
      <c r="AO39" s="16">
        <f t="shared" ref="AO39:AO50" si="42">100*Y39/SUM($R39:$AB39)</f>
        <v>8.4352968159471882</v>
      </c>
      <c r="AP39" s="16">
        <f t="shared" ref="AP39:AP50" si="43">100*Z39/SUM($R39:$AB39)</f>
        <v>2.9078290005085705</v>
      </c>
      <c r="AQ39" s="16">
        <f t="shared" ref="AQ39:AQ50" si="44">100*AA39/SUM($R39:$AB39)</f>
        <v>0.45173063691028215</v>
      </c>
      <c r="AR39" s="16">
        <f t="shared" ref="AR39:AR50" si="45">100*AB39/SUM($R39:$AB39)</f>
        <v>0.13163011936458552</v>
      </c>
      <c r="AS39" s="16">
        <f t="shared" ref="AS39:AS50" si="46">SUM(AH39:AR39)</f>
        <v>100</v>
      </c>
      <c r="AT39" s="16">
        <f t="shared" ref="AT39:AT50" si="47">AL39+0.899*AK39</f>
        <v>11.322553624315672</v>
      </c>
      <c r="AV39" s="1" t="s">
        <v>400</v>
      </c>
      <c r="AW39" s="69">
        <v>141.26936921033797</v>
      </c>
      <c r="AX39" s="69"/>
      <c r="AY39" s="69">
        <v>35.740306375742804</v>
      </c>
      <c r="AZ39" s="69">
        <v>267.49368665077714</v>
      </c>
      <c r="BA39" s="69"/>
      <c r="BB39" s="69">
        <v>224.17260029219105</v>
      </c>
      <c r="BC39" s="69"/>
      <c r="BD39" s="69">
        <v>55.431887533864789</v>
      </c>
      <c r="BE39" s="69"/>
      <c r="BF39" s="69"/>
      <c r="BG39" s="69"/>
      <c r="BH39" s="69">
        <v>66.960423158130411</v>
      </c>
      <c r="BI39" s="69"/>
      <c r="BJ39" s="69">
        <v>103.63387553949579</v>
      </c>
      <c r="BK39" s="69"/>
      <c r="BL39" s="69">
        <v>22.237315659785263</v>
      </c>
      <c r="BM39" s="69"/>
      <c r="BN39" s="69">
        <v>7.3607469101631251</v>
      </c>
      <c r="BP39" s="69">
        <v>138.84431851175523</v>
      </c>
      <c r="BQ39" s="69"/>
      <c r="BR39" s="69">
        <v>49.657870339275931</v>
      </c>
      <c r="BS39" s="69"/>
      <c r="BT39" s="69">
        <v>158.45339011678257</v>
      </c>
      <c r="BV39" s="9">
        <v>9.3158977501213549</v>
      </c>
      <c r="BZ39" s="9">
        <v>0.12495375488073127</v>
      </c>
      <c r="CA39" s="9">
        <v>192.32135128675094</v>
      </c>
      <c r="CB39" s="9">
        <v>9.60066639187181</v>
      </c>
      <c r="CC39" s="9">
        <v>24.294091689011388</v>
      </c>
      <c r="CD39" s="9">
        <v>3.6511057212620082</v>
      </c>
      <c r="CE39" s="9">
        <v>17.283908211942229</v>
      </c>
      <c r="CF39" s="9">
        <v>5.4179969745464316</v>
      </c>
      <c r="CG39" s="9">
        <v>1.750174413925317</v>
      </c>
      <c r="CH39" s="9">
        <v>6.6787746038813864</v>
      </c>
      <c r="CI39" s="9">
        <v>1.3110970099596961</v>
      </c>
      <c r="CJ39" s="9">
        <v>8.0811223529615361</v>
      </c>
      <c r="CK39" s="9">
        <v>1.7293231919349219</v>
      </c>
      <c r="CL39" s="9">
        <v>5.0454028174701477</v>
      </c>
      <c r="CM39" s="9">
        <v>0.71610151796944588</v>
      </c>
      <c r="CN39" s="9">
        <v>4.7009490068207551</v>
      </c>
      <c r="CO39" s="9">
        <v>0.62692239031824581</v>
      </c>
      <c r="CP39" s="9">
        <v>3.863378687808674</v>
      </c>
      <c r="CQ39" s="9">
        <v>0.55477954436212251</v>
      </c>
      <c r="CR39" s="9">
        <v>1.3495414439089242</v>
      </c>
      <c r="CS39" s="9">
        <v>0.93823330224609114</v>
      </c>
      <c r="CT39" s="9">
        <v>0.21491236902313091</v>
      </c>
    </row>
    <row r="40" spans="1:98">
      <c r="A40" s="1" t="s">
        <v>271</v>
      </c>
      <c r="B40" s="1" t="s">
        <v>264</v>
      </c>
      <c r="C40" s="1" t="s">
        <v>730</v>
      </c>
      <c r="D40" s="55">
        <v>67.311111111111117</v>
      </c>
      <c r="E40" s="55">
        <v>3.7405555555555554</v>
      </c>
      <c r="I40" s="9">
        <v>160.19999999999999</v>
      </c>
      <c r="J40" s="1" t="s">
        <v>256</v>
      </c>
      <c r="K40" s="1" t="s">
        <v>52</v>
      </c>
      <c r="L40" s="1" t="s">
        <v>864</v>
      </c>
      <c r="M40" s="78" t="s">
        <v>862</v>
      </c>
      <c r="N40" s="78"/>
      <c r="P40" s="1" t="s">
        <v>815</v>
      </c>
      <c r="Q40" s="1" t="s">
        <v>286</v>
      </c>
      <c r="R40" s="4">
        <v>49.709000000000003</v>
      </c>
      <c r="S40" s="4">
        <v>2.2589999999999999</v>
      </c>
      <c r="T40" s="4">
        <v>14.351000000000001</v>
      </c>
      <c r="U40" s="4">
        <v>12.875</v>
      </c>
      <c r="W40" s="4">
        <v>0.253</v>
      </c>
      <c r="X40" s="4">
        <v>7.5039999999999996</v>
      </c>
      <c r="Y40" s="4">
        <v>8.7370000000000001</v>
      </c>
      <c r="Z40" s="4">
        <v>2.883</v>
      </c>
      <c r="AA40" s="4">
        <v>0.20200000000000001</v>
      </c>
      <c r="AB40" s="4">
        <v>0.224</v>
      </c>
      <c r="AC40" s="9">
        <v>3.6735670695226368</v>
      </c>
      <c r="AD40" s="21">
        <f t="shared" si="32"/>
        <v>98.997</v>
      </c>
      <c r="AE40" s="21">
        <f t="shared" si="33"/>
        <v>11.574625000000001</v>
      </c>
      <c r="AF40" s="23">
        <f t="shared" si="34"/>
        <v>0.53612858592786261</v>
      </c>
      <c r="AH40" s="16">
        <f t="shared" si="35"/>
        <v>50.212632706041603</v>
      </c>
      <c r="AI40" s="16">
        <f t="shared" si="36"/>
        <v>2.2818873299190883</v>
      </c>
      <c r="AJ40" s="16">
        <f t="shared" si="37"/>
        <v>14.496398880774166</v>
      </c>
      <c r="AK40" s="16">
        <f t="shared" si="38"/>
        <v>13.00544460943261</v>
      </c>
      <c r="AL40" s="16">
        <f t="shared" si="39"/>
        <v>0</v>
      </c>
      <c r="AM40" s="16">
        <f t="shared" si="40"/>
        <v>0.25556329989797671</v>
      </c>
      <c r="AN40" s="16">
        <f t="shared" si="41"/>
        <v>7.5800276776063917</v>
      </c>
      <c r="AO40" s="16">
        <f t="shared" si="42"/>
        <v>8.8255199652514733</v>
      </c>
      <c r="AP40" s="16">
        <f t="shared" si="43"/>
        <v>2.9122094608927545</v>
      </c>
      <c r="AQ40" s="16">
        <f t="shared" si="44"/>
        <v>0.20404658727032135</v>
      </c>
      <c r="AR40" s="16">
        <f t="shared" si="45"/>
        <v>0.22626948291362367</v>
      </c>
      <c r="AS40" s="16">
        <f t="shared" si="46"/>
        <v>100.00000000000001</v>
      </c>
      <c r="AT40" s="16">
        <f t="shared" si="47"/>
        <v>11.691894703879917</v>
      </c>
      <c r="AV40" s="1" t="s">
        <v>400</v>
      </c>
      <c r="AW40" s="69">
        <v>16.345799080307575</v>
      </c>
      <c r="AX40" s="69"/>
      <c r="AY40" s="69">
        <v>39.701117670559249</v>
      </c>
      <c r="AZ40" s="69">
        <v>343.22825310750522</v>
      </c>
      <c r="BA40" s="69"/>
      <c r="BB40" s="69">
        <v>246.88113171362707</v>
      </c>
      <c r="BC40" s="69"/>
      <c r="BD40" s="69">
        <v>49.440100332329017</v>
      </c>
      <c r="BE40" s="69"/>
      <c r="BF40" s="69"/>
      <c r="BG40" s="69"/>
      <c r="BH40" s="69">
        <v>268.27405703145382</v>
      </c>
      <c r="BI40" s="69"/>
      <c r="BJ40" s="69">
        <v>106.18263372441099</v>
      </c>
      <c r="BK40" s="69"/>
      <c r="BL40" s="69">
        <v>20.800112641205939</v>
      </c>
      <c r="BM40" s="69"/>
      <c r="BN40" s="69">
        <v>1.227647259552582</v>
      </c>
      <c r="BP40" s="69">
        <v>188.8577047831586</v>
      </c>
      <c r="BQ40" s="69"/>
      <c r="BR40" s="69">
        <v>33.617499124764329</v>
      </c>
      <c r="BS40" s="69"/>
      <c r="BT40" s="69">
        <v>137.78241844234151</v>
      </c>
      <c r="BV40" s="9">
        <v>9.5257766094176226</v>
      </c>
      <c r="BZ40" s="9">
        <v>8.5329499630976621E-3</v>
      </c>
      <c r="CA40" s="9">
        <v>43.435635661440614</v>
      </c>
      <c r="CB40" s="9">
        <v>8.3506377434594103</v>
      </c>
      <c r="CC40" s="9">
        <v>21.268931281307093</v>
      </c>
      <c r="CD40" s="9">
        <v>3.3647245255080342</v>
      </c>
      <c r="CE40" s="9">
        <v>15.904661044501063</v>
      </c>
      <c r="CF40" s="9">
        <v>4.8300169659397527</v>
      </c>
      <c r="CG40" s="9">
        <v>1.7517838802139654</v>
      </c>
      <c r="CH40" s="9">
        <v>5.8423774683531366</v>
      </c>
      <c r="CI40" s="9">
        <v>1.0477976179940485</v>
      </c>
      <c r="CJ40" s="9">
        <v>6.2957202498147424</v>
      </c>
      <c r="CK40" s="9">
        <v>1.3071112923258459</v>
      </c>
      <c r="CL40" s="9">
        <v>3.5241070161104551</v>
      </c>
      <c r="CM40" s="9">
        <v>0.46534111070185324</v>
      </c>
      <c r="CN40" s="9">
        <v>3.2191331781304418</v>
      </c>
      <c r="CO40" s="9">
        <v>0.3852760042253438</v>
      </c>
      <c r="CP40" s="9">
        <v>3.4518071680020888</v>
      </c>
      <c r="CQ40" s="9">
        <v>0.56854473075061562</v>
      </c>
      <c r="CR40" s="9">
        <v>0.88659010948400963</v>
      </c>
      <c r="CS40" s="9">
        <v>0.72729284492415791</v>
      </c>
      <c r="CT40" s="9">
        <v>0.17156179660525334</v>
      </c>
    </row>
    <row r="41" spans="1:98">
      <c r="A41" s="1" t="s">
        <v>271</v>
      </c>
      <c r="B41" s="1" t="s">
        <v>264</v>
      </c>
      <c r="C41" s="1" t="s">
        <v>731</v>
      </c>
      <c r="D41" s="55">
        <v>67.311111111111117</v>
      </c>
      <c r="E41" s="55">
        <v>3.7405555555555554</v>
      </c>
      <c r="I41" s="9">
        <v>167.26</v>
      </c>
      <c r="J41" s="1" t="s">
        <v>256</v>
      </c>
      <c r="K41" s="1" t="s">
        <v>52</v>
      </c>
      <c r="L41" s="1" t="s">
        <v>864</v>
      </c>
      <c r="M41" s="78" t="s">
        <v>862</v>
      </c>
      <c r="N41" s="78"/>
      <c r="P41" s="1" t="s">
        <v>815</v>
      </c>
      <c r="Q41" s="1" t="s">
        <v>286</v>
      </c>
      <c r="R41" s="4">
        <v>49.942999999999998</v>
      </c>
      <c r="S41" s="4">
        <v>1.879</v>
      </c>
      <c r="T41" s="4">
        <v>13.97</v>
      </c>
      <c r="U41" s="4">
        <v>13.301</v>
      </c>
      <c r="W41" s="4">
        <v>0.26600000000000001</v>
      </c>
      <c r="X41" s="4">
        <v>7.2229999999999999</v>
      </c>
      <c r="Y41" s="4">
        <v>10.045999999999999</v>
      </c>
      <c r="Z41" s="4">
        <v>2.7149999999999999</v>
      </c>
      <c r="AA41" s="4">
        <v>0.2</v>
      </c>
      <c r="AB41" s="4">
        <v>0.182</v>
      </c>
      <c r="AC41" s="9">
        <v>6.0733540271198141</v>
      </c>
      <c r="AD41" s="21">
        <f t="shared" si="32"/>
        <v>99.725000000000023</v>
      </c>
      <c r="AE41" s="21">
        <f t="shared" si="33"/>
        <v>11.957599</v>
      </c>
      <c r="AF41" s="23">
        <f t="shared" si="34"/>
        <v>0.5185038046720003</v>
      </c>
      <c r="AH41" s="16">
        <f t="shared" si="35"/>
        <v>50.080721985460002</v>
      </c>
      <c r="AI41" s="16">
        <f t="shared" si="36"/>
        <v>1.8841814991225867</v>
      </c>
      <c r="AJ41" s="16">
        <f t="shared" si="37"/>
        <v>14.008523439458507</v>
      </c>
      <c r="AK41" s="16">
        <f t="shared" si="38"/>
        <v>13.33767861619453</v>
      </c>
      <c r="AL41" s="16">
        <f t="shared" si="39"/>
        <v>0</v>
      </c>
      <c r="AM41" s="16">
        <f t="shared" si="40"/>
        <v>0.26673351717222354</v>
      </c>
      <c r="AN41" s="16">
        <f t="shared" si="41"/>
        <v>7.2429180245675591</v>
      </c>
      <c r="AO41" s="16">
        <f t="shared" si="42"/>
        <v>10.073702682376533</v>
      </c>
      <c r="AP41" s="16">
        <f t="shared" si="43"/>
        <v>2.7224868388067178</v>
      </c>
      <c r="AQ41" s="16">
        <f t="shared" si="44"/>
        <v>0.20055151667084478</v>
      </c>
      <c r="AR41" s="16">
        <f t="shared" si="45"/>
        <v>0.18250188017046873</v>
      </c>
      <c r="AS41" s="16">
        <f t="shared" si="46"/>
        <v>99.999999999999957</v>
      </c>
      <c r="AT41" s="16">
        <f t="shared" si="47"/>
        <v>11.990573075958883</v>
      </c>
      <c r="AV41" s="1" t="s">
        <v>400</v>
      </c>
      <c r="AW41" s="69">
        <v>13.465902350087774</v>
      </c>
      <c r="AX41" s="69"/>
      <c r="AY41" s="69">
        <v>37.666591585702619</v>
      </c>
      <c r="AZ41" s="69">
        <v>344.6651779134973</v>
      </c>
      <c r="BA41" s="69"/>
      <c r="BB41" s="69">
        <v>187.74948492044322</v>
      </c>
      <c r="BC41" s="69"/>
      <c r="BD41" s="69">
        <v>48.849196962443777</v>
      </c>
      <c r="BE41" s="69"/>
      <c r="BF41" s="69"/>
      <c r="BG41" s="69"/>
      <c r="BH41" s="69">
        <v>138.38998085562326</v>
      </c>
      <c r="BI41" s="69"/>
      <c r="BJ41" s="69">
        <v>89.985738493897955</v>
      </c>
      <c r="BK41" s="69"/>
      <c r="BL41" s="69">
        <v>19.327341251049127</v>
      </c>
      <c r="BM41" s="69"/>
      <c r="BN41" s="69">
        <v>2.0904639251996371</v>
      </c>
      <c r="BP41" s="69">
        <v>170.93493420692664</v>
      </c>
      <c r="BQ41" s="69"/>
      <c r="BR41" s="69">
        <v>33.750233098837022</v>
      </c>
      <c r="BS41" s="69"/>
      <c r="BT41" s="69">
        <v>106.42632480501749</v>
      </c>
      <c r="BV41" s="9">
        <v>6.7567618014170128</v>
      </c>
      <c r="BZ41" s="9">
        <v>3.7004453830291821E-2</v>
      </c>
      <c r="CA41" s="9">
        <v>23.928832620408151</v>
      </c>
      <c r="CB41" s="9">
        <v>6.2557172243996817</v>
      </c>
      <c r="CC41" s="9">
        <v>16.504691624006703</v>
      </c>
      <c r="CD41" s="9">
        <v>2.5732181093676254</v>
      </c>
      <c r="CE41" s="9">
        <v>13.039011167947596</v>
      </c>
      <c r="CF41" s="9">
        <v>4.0208261294959744</v>
      </c>
      <c r="CG41" s="9">
        <v>1.6204932866515496</v>
      </c>
      <c r="CH41" s="9">
        <v>5.0714719392660053</v>
      </c>
      <c r="CI41" s="9">
        <v>0.98590665993792781</v>
      </c>
      <c r="CJ41" s="9">
        <v>5.9432740291292268</v>
      </c>
      <c r="CK41" s="9">
        <v>1.1941543398143326</v>
      </c>
      <c r="CL41" s="9">
        <v>3.4077620214075606</v>
      </c>
      <c r="CM41" s="9">
        <v>0.4611307381719873</v>
      </c>
      <c r="CN41" s="9">
        <v>3.1189647669509504</v>
      </c>
      <c r="CO41" s="9">
        <v>0.38180482846854691</v>
      </c>
      <c r="CP41" s="9">
        <v>2.6723933433693072</v>
      </c>
      <c r="CQ41" s="9">
        <v>0.41209679750235462</v>
      </c>
      <c r="CR41" s="9">
        <v>0.69863597547094902</v>
      </c>
      <c r="CS41" s="9">
        <v>0.53178215759340886</v>
      </c>
      <c r="CT41" s="9">
        <v>0.18134340475082364</v>
      </c>
    </row>
    <row r="42" spans="1:98">
      <c r="A42" s="1" t="s">
        <v>271</v>
      </c>
      <c r="B42" s="1" t="s">
        <v>264</v>
      </c>
      <c r="C42" s="1" t="s">
        <v>732</v>
      </c>
      <c r="D42" s="55">
        <v>67.311111111111117</v>
      </c>
      <c r="E42" s="55">
        <v>3.7405555555555554</v>
      </c>
      <c r="I42" s="9">
        <v>176.42</v>
      </c>
      <c r="J42" s="1" t="s">
        <v>256</v>
      </c>
      <c r="K42" s="1" t="s">
        <v>52</v>
      </c>
      <c r="L42" s="1" t="s">
        <v>864</v>
      </c>
      <c r="M42" s="78" t="s">
        <v>862</v>
      </c>
      <c r="N42" s="78"/>
      <c r="P42" s="1" t="s">
        <v>815</v>
      </c>
      <c r="Q42" s="1" t="s">
        <v>286</v>
      </c>
      <c r="R42" s="4">
        <v>48.439</v>
      </c>
      <c r="S42" s="4">
        <v>2.4420000000000002</v>
      </c>
      <c r="T42" s="4">
        <v>14.534000000000001</v>
      </c>
      <c r="U42" s="4">
        <v>14.125999999999999</v>
      </c>
      <c r="W42" s="4">
        <v>0.17899999999999999</v>
      </c>
      <c r="X42" s="4">
        <v>7.0759999999999996</v>
      </c>
      <c r="Y42" s="4">
        <v>8.968</v>
      </c>
      <c r="Z42" s="4">
        <v>3.1949999999999998</v>
      </c>
      <c r="AA42" s="4">
        <v>0.191</v>
      </c>
      <c r="AB42" s="4">
        <v>0.183</v>
      </c>
      <c r="AC42" s="9">
        <v>4.4283480121819867</v>
      </c>
      <c r="AD42" s="21">
        <f t="shared" si="32"/>
        <v>99.333000000000013</v>
      </c>
      <c r="AE42" s="21">
        <f t="shared" si="33"/>
        <v>12.699273999999999</v>
      </c>
      <c r="AF42" s="23">
        <f t="shared" si="34"/>
        <v>0.49832740188899699</v>
      </c>
      <c r="AH42" s="16">
        <f t="shared" si="35"/>
        <v>48.764257598179853</v>
      </c>
      <c r="AI42" s="16">
        <f t="shared" si="36"/>
        <v>2.4583975114010448</v>
      </c>
      <c r="AJ42" s="16">
        <f t="shared" si="37"/>
        <v>14.631592723465515</v>
      </c>
      <c r="AK42" s="16">
        <f t="shared" si="38"/>
        <v>14.220853090111039</v>
      </c>
      <c r="AL42" s="16">
        <f t="shared" si="39"/>
        <v>0</v>
      </c>
      <c r="AM42" s="16">
        <f t="shared" si="40"/>
        <v>0.18020194698639924</v>
      </c>
      <c r="AN42" s="16">
        <f t="shared" si="41"/>
        <v>7.1235138372947544</v>
      </c>
      <c r="AO42" s="16">
        <f t="shared" si="42"/>
        <v>9.0282182154973665</v>
      </c>
      <c r="AP42" s="16">
        <f t="shared" si="43"/>
        <v>3.2164537464890817</v>
      </c>
      <c r="AQ42" s="16">
        <f t="shared" si="44"/>
        <v>0.19228252443800145</v>
      </c>
      <c r="AR42" s="16">
        <f t="shared" si="45"/>
        <v>0.18422880613693332</v>
      </c>
      <c r="AS42" s="16">
        <f t="shared" si="46"/>
        <v>99.999999999999972</v>
      </c>
      <c r="AT42" s="16">
        <f t="shared" si="47"/>
        <v>12.784546928009824</v>
      </c>
      <c r="AV42" s="1" t="s">
        <v>400</v>
      </c>
      <c r="AW42" s="69">
        <v>3.2758510479990535</v>
      </c>
      <c r="AX42" s="69"/>
      <c r="AY42" s="69">
        <v>40.915824011332234</v>
      </c>
      <c r="AZ42" s="69">
        <v>381.23468586704149</v>
      </c>
      <c r="BA42" s="69"/>
      <c r="BB42" s="69">
        <v>158.72522691766383</v>
      </c>
      <c r="BC42" s="69"/>
      <c r="BD42" s="69">
        <v>53.711636591134067</v>
      </c>
      <c r="BE42" s="69"/>
      <c r="BF42" s="69"/>
      <c r="BG42" s="69"/>
      <c r="BH42" s="69">
        <v>186.03051628264785</v>
      </c>
      <c r="BI42" s="69"/>
      <c r="BJ42" s="69">
        <v>94.517667259483147</v>
      </c>
      <c r="BK42" s="69"/>
      <c r="BL42" s="69">
        <v>22.129922311319675</v>
      </c>
      <c r="BM42" s="69"/>
      <c r="BN42" s="69">
        <v>1.6458347993668463</v>
      </c>
      <c r="BP42" s="69">
        <v>193.70097819252396</v>
      </c>
      <c r="BQ42" s="69"/>
      <c r="BR42" s="69">
        <v>39.898810005847061</v>
      </c>
      <c r="BS42" s="69"/>
      <c r="BT42" s="69">
        <v>132.43626290657988</v>
      </c>
      <c r="BV42" s="9">
        <v>8.6008634160314443</v>
      </c>
      <c r="BZ42" s="9">
        <v>3.2215662713363527E-2</v>
      </c>
      <c r="CA42" s="9">
        <v>33.343359853661894</v>
      </c>
      <c r="CB42" s="9">
        <v>8.2615231651892884</v>
      </c>
      <c r="CC42" s="9">
        <v>21.101889585499439</v>
      </c>
      <c r="CD42" s="9">
        <v>3.3580078060322709</v>
      </c>
      <c r="CE42" s="9">
        <v>16.245773053904497</v>
      </c>
      <c r="CF42" s="9">
        <v>4.9730767871061961</v>
      </c>
      <c r="CG42" s="9">
        <v>2.0131785893012468</v>
      </c>
      <c r="CH42" s="9">
        <v>6.0966241373087353</v>
      </c>
      <c r="CI42" s="9">
        <v>1.1364627822805202</v>
      </c>
      <c r="CJ42" s="9">
        <v>7.0759116061572138</v>
      </c>
      <c r="CK42" s="9">
        <v>1.4285771732027461</v>
      </c>
      <c r="CL42" s="9">
        <v>3.7518737287924258</v>
      </c>
      <c r="CM42" s="9">
        <v>0.53570585767683276</v>
      </c>
      <c r="CN42" s="9">
        <v>3.3399963808380382</v>
      </c>
      <c r="CO42" s="9">
        <v>0.41017094904651957</v>
      </c>
      <c r="CP42" s="9">
        <v>3.2448642462946227</v>
      </c>
      <c r="CQ42" s="9">
        <v>0.52149943138023125</v>
      </c>
      <c r="CR42" s="9">
        <v>0.81127989782904875</v>
      </c>
      <c r="CS42" s="9">
        <v>0.61056468776284745</v>
      </c>
      <c r="CT42" s="9">
        <v>0.32336283834696322</v>
      </c>
    </row>
    <row r="43" spans="1:98">
      <c r="A43" s="1" t="s">
        <v>271</v>
      </c>
      <c r="B43" s="1" t="s">
        <v>264</v>
      </c>
      <c r="C43" s="1" t="s">
        <v>733</v>
      </c>
      <c r="D43" s="55">
        <v>67.311111111111117</v>
      </c>
      <c r="E43" s="55">
        <v>3.7405555555555554</v>
      </c>
      <c r="I43" s="9">
        <v>187.02500000000001</v>
      </c>
      <c r="J43" s="1" t="s">
        <v>256</v>
      </c>
      <c r="K43" s="1" t="s">
        <v>52</v>
      </c>
      <c r="L43" s="1" t="s">
        <v>864</v>
      </c>
      <c r="M43" s="78" t="s">
        <v>862</v>
      </c>
      <c r="N43" s="78"/>
      <c r="P43" s="1" t="s">
        <v>815</v>
      </c>
      <c r="Q43" s="1" t="s">
        <v>286</v>
      </c>
      <c r="R43" s="4">
        <v>49.982999999999997</v>
      </c>
      <c r="S43" s="4">
        <v>2.1110000000000002</v>
      </c>
      <c r="T43" s="4">
        <v>13.069000000000001</v>
      </c>
      <c r="U43" s="4">
        <v>13.821</v>
      </c>
      <c r="W43" s="4">
        <v>0.24299999999999999</v>
      </c>
      <c r="X43" s="4">
        <v>7.6020000000000003</v>
      </c>
      <c r="Y43" s="4">
        <v>10.220000000000001</v>
      </c>
      <c r="Z43" s="4">
        <v>2.6139999999999999</v>
      </c>
      <c r="AA43" s="4">
        <v>0.14299999999999999</v>
      </c>
      <c r="AB43" s="4">
        <v>0.17599999999999999</v>
      </c>
      <c r="AC43" s="9">
        <v>2.6500512658726931</v>
      </c>
      <c r="AD43" s="21">
        <f t="shared" si="32"/>
        <v>99.981999999999999</v>
      </c>
      <c r="AE43" s="21">
        <f t="shared" si="33"/>
        <v>12.425079</v>
      </c>
      <c r="AF43" s="23">
        <f t="shared" si="34"/>
        <v>0.52169638529326867</v>
      </c>
      <c r="AH43" s="16">
        <f t="shared" si="35"/>
        <v>49.991998559740743</v>
      </c>
      <c r="AI43" s="16">
        <f t="shared" si="36"/>
        <v>2.111380048408714</v>
      </c>
      <c r="AJ43" s="16">
        <f t="shared" si="37"/>
        <v>13.071352843511834</v>
      </c>
      <c r="AK43" s="16">
        <f t="shared" si="38"/>
        <v>13.823488227881018</v>
      </c>
      <c r="AL43" s="16">
        <f t="shared" si="39"/>
        <v>0</v>
      </c>
      <c r="AM43" s="16">
        <f t="shared" si="40"/>
        <v>0.24304374787461744</v>
      </c>
      <c r="AN43" s="16">
        <f t="shared" si="41"/>
        <v>7.603368606349143</v>
      </c>
      <c r="AO43" s="16">
        <f t="shared" si="42"/>
        <v>10.221839931187615</v>
      </c>
      <c r="AP43" s="16">
        <f t="shared" si="43"/>
        <v>2.6144706047088473</v>
      </c>
      <c r="AQ43" s="16">
        <f t="shared" si="44"/>
        <v>0.14302574463403411</v>
      </c>
      <c r="AR43" s="16">
        <f t="shared" si="45"/>
        <v>0.17603168570342659</v>
      </c>
      <c r="AS43" s="16">
        <f t="shared" si="46"/>
        <v>99.999999999999972</v>
      </c>
      <c r="AT43" s="16">
        <f t="shared" si="47"/>
        <v>12.427315916865036</v>
      </c>
      <c r="AV43" s="1" t="s">
        <v>400</v>
      </c>
      <c r="AW43" s="69">
        <v>3.9754034379694767</v>
      </c>
      <c r="AX43" s="69"/>
      <c r="AY43" s="69">
        <v>39.331664220563326</v>
      </c>
      <c r="AZ43" s="69">
        <v>352.15276633099995</v>
      </c>
      <c r="BA43" s="69"/>
      <c r="BB43" s="69">
        <v>217.32827176398132</v>
      </c>
      <c r="BC43" s="69"/>
      <c r="BD43" s="69">
        <v>47.214045870906894</v>
      </c>
      <c r="BE43" s="69"/>
      <c r="BF43" s="69"/>
      <c r="BG43" s="69"/>
      <c r="BH43" s="69">
        <v>156.58760499431074</v>
      </c>
      <c r="BI43" s="69"/>
      <c r="BJ43" s="69">
        <v>103.71870199204085</v>
      </c>
      <c r="BK43" s="69"/>
      <c r="BL43" s="69">
        <v>19.752166178130601</v>
      </c>
      <c r="BM43" s="69"/>
      <c r="BN43" s="69">
        <v>0.97784611506933183</v>
      </c>
      <c r="BP43" s="69">
        <v>167.18431981865973</v>
      </c>
      <c r="BQ43" s="69"/>
      <c r="BR43" s="69">
        <v>33.523817843364235</v>
      </c>
      <c r="BS43" s="69"/>
      <c r="BT43" s="69">
        <v>119.03697020076329</v>
      </c>
      <c r="BV43" s="9">
        <v>7.1742194790398308</v>
      </c>
      <c r="BZ43" s="9">
        <v>1.8466704120646861E-2</v>
      </c>
      <c r="CA43" s="9">
        <v>32.465772804637986</v>
      </c>
      <c r="CB43" s="9">
        <v>6.4013783848729506</v>
      </c>
      <c r="CC43" s="9">
        <v>17.308748212651011</v>
      </c>
      <c r="CD43" s="9">
        <v>2.7752280236309059</v>
      </c>
      <c r="CE43" s="9">
        <v>13.928484268764297</v>
      </c>
      <c r="CF43" s="9">
        <v>4.1871265334941601</v>
      </c>
      <c r="CG43" s="9">
        <v>1.6068938561369235</v>
      </c>
      <c r="CH43" s="9">
        <v>5.3547072247957237</v>
      </c>
      <c r="CI43" s="9">
        <v>0.96751338999959902</v>
      </c>
      <c r="CJ43" s="9">
        <v>6.0826853303460862</v>
      </c>
      <c r="CK43" s="9">
        <v>1.2255554800842179</v>
      </c>
      <c r="CL43" s="9">
        <v>3.2819437267142293</v>
      </c>
      <c r="CM43" s="9">
        <v>0.43148266310535599</v>
      </c>
      <c r="CN43" s="9">
        <v>2.9890525808892421</v>
      </c>
      <c r="CO43" s="9">
        <v>0.39650431564099664</v>
      </c>
      <c r="CP43" s="9">
        <v>3.0173020616930675</v>
      </c>
      <c r="CQ43" s="9">
        <v>0.46397370390961573</v>
      </c>
      <c r="CR43" s="9">
        <v>0.72720538455911576</v>
      </c>
      <c r="CS43" s="9">
        <v>0.57646238308455977</v>
      </c>
      <c r="CT43" s="9">
        <v>0.13685811844610901</v>
      </c>
    </row>
    <row r="44" spans="1:98">
      <c r="A44" s="1" t="s">
        <v>271</v>
      </c>
      <c r="B44" s="1" t="s">
        <v>264</v>
      </c>
      <c r="C44" s="1" t="s">
        <v>734</v>
      </c>
      <c r="D44" s="55">
        <v>67.311111111111117</v>
      </c>
      <c r="E44" s="55">
        <v>3.7405555555555554</v>
      </c>
      <c r="I44" s="9">
        <v>199.58500000000001</v>
      </c>
      <c r="J44" s="1" t="s">
        <v>256</v>
      </c>
      <c r="K44" s="1" t="s">
        <v>52</v>
      </c>
      <c r="L44" s="1" t="s">
        <v>864</v>
      </c>
      <c r="M44" s="78" t="s">
        <v>862</v>
      </c>
      <c r="N44" s="78"/>
      <c r="P44" s="1" t="s">
        <v>815</v>
      </c>
      <c r="Q44" s="1" t="s">
        <v>286</v>
      </c>
      <c r="R44" s="4">
        <v>50.234999999999999</v>
      </c>
      <c r="S44" s="4">
        <v>2.0329999999999999</v>
      </c>
      <c r="T44" s="4">
        <v>15.242000000000001</v>
      </c>
      <c r="U44" s="4">
        <v>12.327</v>
      </c>
      <c r="W44" s="4">
        <v>0.19500000000000001</v>
      </c>
      <c r="X44" s="4">
        <v>6.5890000000000004</v>
      </c>
      <c r="Y44" s="4">
        <v>10.948</v>
      </c>
      <c r="Z44" s="4">
        <v>2.7</v>
      </c>
      <c r="AA44" s="4">
        <v>0.22700000000000001</v>
      </c>
      <c r="AB44" s="4">
        <v>0.16300000000000001</v>
      </c>
      <c r="AC44" s="9">
        <v>2.0335686805055615</v>
      </c>
      <c r="AD44" s="21">
        <f t="shared" si="32"/>
        <v>100.65899999999999</v>
      </c>
      <c r="AE44" s="21">
        <f t="shared" si="33"/>
        <v>11.081973</v>
      </c>
      <c r="AF44" s="23">
        <f t="shared" si="34"/>
        <v>0.51455276120571936</v>
      </c>
      <c r="AH44" s="16">
        <f t="shared" si="35"/>
        <v>49.906118677912559</v>
      </c>
      <c r="AI44" s="16">
        <f t="shared" si="36"/>
        <v>2.0196902413097688</v>
      </c>
      <c r="AJ44" s="16">
        <f t="shared" si="37"/>
        <v>15.142212817532462</v>
      </c>
      <c r="AK44" s="16">
        <f t="shared" si="38"/>
        <v>12.246296903406552</v>
      </c>
      <c r="AL44" s="16">
        <f t="shared" si="39"/>
        <v>0</v>
      </c>
      <c r="AM44" s="16">
        <f t="shared" si="40"/>
        <v>0.19372336303758234</v>
      </c>
      <c r="AN44" s="16">
        <f t="shared" si="41"/>
        <v>6.5458627643827194</v>
      </c>
      <c r="AO44" s="16">
        <f t="shared" si="42"/>
        <v>10.876325018130521</v>
      </c>
      <c r="AP44" s="16">
        <f t="shared" si="43"/>
        <v>2.6823234882126785</v>
      </c>
      <c r="AQ44" s="16">
        <f t="shared" si="44"/>
        <v>0.2255138636386215</v>
      </c>
      <c r="AR44" s="16">
        <f t="shared" si="45"/>
        <v>0.1619328624365432</v>
      </c>
      <c r="AS44" s="16">
        <f t="shared" si="46"/>
        <v>99.999999999999986</v>
      </c>
      <c r="AT44" s="16">
        <f t="shared" si="47"/>
        <v>11.00942091616249</v>
      </c>
      <c r="AV44" s="1" t="s">
        <v>400</v>
      </c>
      <c r="AW44" s="69">
        <v>10.337056787932482</v>
      </c>
      <c r="AX44" s="69"/>
      <c r="AY44" s="69">
        <v>35.212706667190062</v>
      </c>
      <c r="AZ44" s="69">
        <v>328.01975500134449</v>
      </c>
      <c r="BA44" s="69"/>
      <c r="BB44" s="69">
        <v>177.7629169024689</v>
      </c>
      <c r="BC44" s="69"/>
      <c r="BD44" s="69">
        <v>41.913711490995901</v>
      </c>
      <c r="BE44" s="69"/>
      <c r="BF44" s="69"/>
      <c r="BG44" s="69"/>
      <c r="BH44" s="69">
        <v>162.42745034832114</v>
      </c>
      <c r="BI44" s="69"/>
      <c r="BJ44" s="69">
        <v>99.217518075321038</v>
      </c>
      <c r="BK44" s="69"/>
      <c r="BL44" s="69">
        <v>20.130619855062061</v>
      </c>
      <c r="BM44" s="69"/>
      <c r="BN44" s="69">
        <v>2.2930346399302417</v>
      </c>
      <c r="BP44" s="69">
        <v>187.63058235993861</v>
      </c>
      <c r="BQ44" s="69"/>
      <c r="BR44" s="69">
        <v>31.952736818587113</v>
      </c>
      <c r="BS44" s="69"/>
      <c r="BT44" s="69">
        <v>116.52875977299949</v>
      </c>
      <c r="BV44" s="9">
        <v>6.8739838536213771</v>
      </c>
      <c r="BZ44" s="9">
        <v>1.8578730542715853E-2</v>
      </c>
      <c r="CA44" s="9">
        <v>38.980575917845655</v>
      </c>
      <c r="CB44" s="9">
        <v>6.2414264652901936</v>
      </c>
      <c r="CC44" s="9">
        <v>16.396029900057801</v>
      </c>
      <c r="CD44" s="9">
        <v>2.6124471660210999</v>
      </c>
      <c r="CE44" s="9">
        <v>13.340953545384259</v>
      </c>
      <c r="CF44" s="9">
        <v>3.9822661144786222</v>
      </c>
      <c r="CG44" s="9">
        <v>1.6695272970520736</v>
      </c>
      <c r="CH44" s="9">
        <v>5.186533625155616</v>
      </c>
      <c r="CI44" s="9">
        <v>0.96892263991463312</v>
      </c>
      <c r="CJ44" s="9">
        <v>5.7693126174863085</v>
      </c>
      <c r="CK44" s="9">
        <v>1.2006589803224068</v>
      </c>
      <c r="CL44" s="9">
        <v>3.1564125205443303</v>
      </c>
      <c r="CM44" s="9">
        <v>0.44585960961141446</v>
      </c>
      <c r="CN44" s="9">
        <v>2.8288124935323453</v>
      </c>
      <c r="CO44" s="9">
        <v>0.35780861168429756</v>
      </c>
      <c r="CP44" s="9">
        <v>2.934371834306809</v>
      </c>
      <c r="CQ44" s="9">
        <v>0.41622154756685514</v>
      </c>
      <c r="CR44" s="9">
        <v>0.85716667492564325</v>
      </c>
      <c r="CS44" s="9">
        <v>0.53662200630365164</v>
      </c>
      <c r="CT44" s="9">
        <v>0.13744003944076028</v>
      </c>
    </row>
    <row r="45" spans="1:98">
      <c r="A45" s="1" t="s">
        <v>271</v>
      </c>
      <c r="B45" s="1" t="s">
        <v>264</v>
      </c>
      <c r="C45" s="1" t="s">
        <v>735</v>
      </c>
      <c r="D45" s="55">
        <v>67.311111111111117</v>
      </c>
      <c r="E45" s="55">
        <v>3.7405555555555554</v>
      </c>
      <c r="I45" s="9">
        <v>207.935</v>
      </c>
      <c r="J45" s="1" t="s">
        <v>256</v>
      </c>
      <c r="K45" s="1" t="s">
        <v>52</v>
      </c>
      <c r="L45" s="1" t="s">
        <v>864</v>
      </c>
      <c r="M45" s="78" t="s">
        <v>862</v>
      </c>
      <c r="N45" s="78"/>
      <c r="P45" s="1" t="s">
        <v>815</v>
      </c>
      <c r="Q45" s="1" t="s">
        <v>286</v>
      </c>
      <c r="R45" s="4">
        <v>49.043999999999997</v>
      </c>
      <c r="S45" s="4">
        <v>2.6</v>
      </c>
      <c r="T45" s="4">
        <v>12.202999999999999</v>
      </c>
      <c r="U45" s="4">
        <v>15.000999999999999</v>
      </c>
      <c r="W45" s="4">
        <v>0.28899999999999998</v>
      </c>
      <c r="X45" s="4">
        <v>6.7359999999999998</v>
      </c>
      <c r="Y45" s="4">
        <v>9.2880000000000003</v>
      </c>
      <c r="Z45" s="4">
        <v>2.827</v>
      </c>
      <c r="AA45" s="4">
        <v>0.23</v>
      </c>
      <c r="AB45" s="4">
        <v>0.255</v>
      </c>
      <c r="AC45" s="9">
        <v>2.2042057258677112</v>
      </c>
      <c r="AD45" s="21">
        <f t="shared" si="32"/>
        <v>98.472999999999999</v>
      </c>
      <c r="AE45" s="21">
        <f t="shared" si="33"/>
        <v>13.485899</v>
      </c>
      <c r="AF45" s="23">
        <f t="shared" si="34"/>
        <v>0.47102432459600296</v>
      </c>
      <c r="AH45" s="16">
        <f t="shared" si="35"/>
        <v>49.80451494318239</v>
      </c>
      <c r="AI45" s="16">
        <f t="shared" si="36"/>
        <v>2.6403176505234938</v>
      </c>
      <c r="AJ45" s="16">
        <f t="shared" si="37"/>
        <v>12.392229342053151</v>
      </c>
      <c r="AK45" s="16">
        <f t="shared" si="38"/>
        <v>15.233617336731895</v>
      </c>
      <c r="AL45" s="16">
        <f t="shared" si="39"/>
        <v>0</v>
      </c>
      <c r="AM45" s="16">
        <f t="shared" si="40"/>
        <v>0.29348146192357294</v>
      </c>
      <c r="AN45" s="16">
        <f t="shared" si="41"/>
        <v>6.8404537284331752</v>
      </c>
      <c r="AO45" s="16">
        <f t="shared" si="42"/>
        <v>9.4320270531008514</v>
      </c>
      <c r="AP45" s="16">
        <f t="shared" si="43"/>
        <v>2.8708376915499678</v>
      </c>
      <c r="AQ45" s="16">
        <f t="shared" si="44"/>
        <v>0.2335665613924629</v>
      </c>
      <c r="AR45" s="16">
        <f t="shared" si="45"/>
        <v>0.25895423110903498</v>
      </c>
      <c r="AS45" s="16">
        <f t="shared" si="46"/>
        <v>100</v>
      </c>
      <c r="AT45" s="16">
        <f t="shared" si="47"/>
        <v>13.695021985721974</v>
      </c>
      <c r="AV45" s="1" t="s">
        <v>400</v>
      </c>
      <c r="AW45" s="69">
        <v>10.992719334342084</v>
      </c>
      <c r="AX45" s="69"/>
      <c r="AY45" s="69">
        <v>38.93852075731813</v>
      </c>
      <c r="AZ45" s="69">
        <v>391.30184508915198</v>
      </c>
      <c r="BA45" s="69"/>
      <c r="BB45" s="69">
        <v>83.635169677736371</v>
      </c>
      <c r="BC45" s="69"/>
      <c r="BD45" s="69">
        <v>51.543924284180221</v>
      </c>
      <c r="BE45" s="69"/>
      <c r="BF45" s="69"/>
      <c r="BG45" s="69"/>
      <c r="BH45" s="69">
        <v>149.38192295933368</v>
      </c>
      <c r="BI45" s="69"/>
      <c r="BJ45" s="69">
        <v>130.80800354365928</v>
      </c>
      <c r="BK45" s="69"/>
      <c r="BL45" s="69">
        <v>21.357189861809825</v>
      </c>
      <c r="BM45" s="69"/>
      <c r="BN45" s="69">
        <v>1.9140104285778823</v>
      </c>
      <c r="BP45" s="69">
        <v>182.15179216694659</v>
      </c>
      <c r="BQ45" s="69"/>
      <c r="BR45" s="69">
        <v>38.660756115996008</v>
      </c>
      <c r="BS45" s="69"/>
      <c r="BT45" s="69">
        <v>152.77953939170089</v>
      </c>
      <c r="BV45" s="9">
        <v>9.3572400047756012</v>
      </c>
      <c r="BZ45" s="9">
        <v>1.438039406667148E-2</v>
      </c>
      <c r="CA45" s="9">
        <v>101.72046817581862</v>
      </c>
      <c r="CB45" s="9">
        <v>8.1306464422918605</v>
      </c>
      <c r="CC45" s="9">
        <v>21.641895072146564</v>
      </c>
      <c r="CD45" s="9">
        <v>3.5226169619509444</v>
      </c>
      <c r="CE45" s="9">
        <v>17.301164713072026</v>
      </c>
      <c r="CF45" s="9">
        <v>5.2494235346776099</v>
      </c>
      <c r="CG45" s="9">
        <v>2.0311892849739235</v>
      </c>
      <c r="CH45" s="9">
        <v>6.2629394233412965</v>
      </c>
      <c r="CI45" s="9">
        <v>1.2167673393951628</v>
      </c>
      <c r="CJ45" s="9">
        <v>7.1060865639710729</v>
      </c>
      <c r="CK45" s="9">
        <v>1.3746387406262035</v>
      </c>
      <c r="CL45" s="9">
        <v>3.8776449699910267</v>
      </c>
      <c r="CM45" s="9">
        <v>0.55150623901689211</v>
      </c>
      <c r="CN45" s="9">
        <v>3.3827279928888188</v>
      </c>
      <c r="CO45" s="9">
        <v>0.43200350997601294</v>
      </c>
      <c r="CP45" s="9">
        <v>3.7766579816318808</v>
      </c>
      <c r="CQ45" s="9">
        <v>0.57514360279567733</v>
      </c>
      <c r="CR45" s="9">
        <v>0.91485270534570262</v>
      </c>
      <c r="CS45" s="9">
        <v>0.69152862494777068</v>
      </c>
      <c r="CT45" s="9">
        <v>0.22111379776557885</v>
      </c>
    </row>
    <row r="46" spans="1:98">
      <c r="A46" s="1" t="s">
        <v>271</v>
      </c>
      <c r="B46" s="1" t="s">
        <v>264</v>
      </c>
      <c r="C46" s="1" t="s">
        <v>736</v>
      </c>
      <c r="D46" s="55">
        <v>67.311111111111117</v>
      </c>
      <c r="E46" s="55">
        <v>3.7405555555555554</v>
      </c>
      <c r="I46" s="9">
        <v>212.19</v>
      </c>
      <c r="J46" s="1" t="s">
        <v>256</v>
      </c>
      <c r="K46" s="1" t="s">
        <v>52</v>
      </c>
      <c r="L46" s="1" t="s">
        <v>864</v>
      </c>
      <c r="M46" s="78" t="s">
        <v>862</v>
      </c>
      <c r="N46" s="78"/>
      <c r="P46" s="1" t="s">
        <v>815</v>
      </c>
      <c r="Q46" s="1" t="s">
        <v>286</v>
      </c>
      <c r="R46" s="4">
        <v>49.534999999999997</v>
      </c>
      <c r="S46" s="4">
        <v>2.4489999999999998</v>
      </c>
      <c r="T46" s="4">
        <v>13.076000000000001</v>
      </c>
      <c r="U46" s="4">
        <v>14.143000000000001</v>
      </c>
      <c r="W46" s="4">
        <v>0.26900000000000002</v>
      </c>
      <c r="X46" s="4">
        <v>6.8079999999999998</v>
      </c>
      <c r="Y46" s="4">
        <v>9.6630000000000003</v>
      </c>
      <c r="Z46" s="4">
        <v>2.89</v>
      </c>
      <c r="AA46" s="4">
        <v>0.21</v>
      </c>
      <c r="AB46" s="4">
        <v>0.27200000000000002</v>
      </c>
      <c r="AC46" s="9">
        <v>1.4902937639581189</v>
      </c>
      <c r="AD46" s="21">
        <f t="shared" si="32"/>
        <v>99.314999999999998</v>
      </c>
      <c r="AE46" s="21">
        <f t="shared" si="33"/>
        <v>12.714557000000001</v>
      </c>
      <c r="AF46" s="23">
        <f t="shared" si="34"/>
        <v>0.48837621133469639</v>
      </c>
      <c r="AH46" s="16">
        <f t="shared" si="35"/>
        <v>49.87665508734834</v>
      </c>
      <c r="AI46" s="16">
        <f t="shared" si="36"/>
        <v>2.4658913557871416</v>
      </c>
      <c r="AJ46" s="16">
        <f t="shared" si="37"/>
        <v>13.166188390474753</v>
      </c>
      <c r="AK46" s="16">
        <f t="shared" si="38"/>
        <v>14.2405477521019</v>
      </c>
      <c r="AL46" s="16">
        <f t="shared" si="39"/>
        <v>0</v>
      </c>
      <c r="AM46" s="16">
        <f t="shared" si="40"/>
        <v>0.27085535921059256</v>
      </c>
      <c r="AN46" s="16">
        <f t="shared" si="41"/>
        <v>6.8549564516941039</v>
      </c>
      <c r="AO46" s="16">
        <f t="shared" si="42"/>
        <v>9.7296480894124766</v>
      </c>
      <c r="AP46" s="16">
        <f t="shared" si="43"/>
        <v>2.9099330413331321</v>
      </c>
      <c r="AQ46" s="16">
        <f t="shared" si="44"/>
        <v>0.21144842168856667</v>
      </c>
      <c r="AR46" s="16">
        <f t="shared" si="45"/>
        <v>0.27387605094900069</v>
      </c>
      <c r="AS46" s="16">
        <f t="shared" si="46"/>
        <v>100.00000000000001</v>
      </c>
      <c r="AT46" s="16">
        <f t="shared" si="47"/>
        <v>12.802252429139608</v>
      </c>
      <c r="AV46" s="1" t="s">
        <v>400</v>
      </c>
      <c r="AW46" s="69">
        <v>10.347981006607412</v>
      </c>
      <c r="AX46" s="69"/>
      <c r="AY46" s="69">
        <v>42.53764416783438</v>
      </c>
      <c r="AZ46" s="69">
        <v>415.79183074239421</v>
      </c>
      <c r="BA46" s="69"/>
      <c r="BB46" s="69">
        <v>235.10832610082713</v>
      </c>
      <c r="BC46" s="69"/>
      <c r="BD46" s="69">
        <v>57.309957527548072</v>
      </c>
      <c r="BE46" s="69"/>
      <c r="BF46" s="69"/>
      <c r="BG46" s="69"/>
      <c r="BH46" s="69">
        <v>66.148249948304226</v>
      </c>
      <c r="BI46" s="69"/>
      <c r="BJ46" s="69">
        <v>131.34407009733602</v>
      </c>
      <c r="BK46" s="69"/>
      <c r="BL46" s="69">
        <v>21.198524157105844</v>
      </c>
      <c r="BM46" s="69"/>
      <c r="BN46" s="69">
        <v>1.3099010289570905</v>
      </c>
      <c r="BP46" s="69">
        <v>181.11828840915638</v>
      </c>
      <c r="BQ46" s="69"/>
      <c r="BR46" s="69">
        <v>44.206036251253792</v>
      </c>
      <c r="BS46" s="69"/>
      <c r="BT46" s="69">
        <v>152.37195060053659</v>
      </c>
      <c r="BV46" s="9">
        <v>9.3029458459670238</v>
      </c>
      <c r="BZ46" s="9">
        <v>8.6911473868518246E-3</v>
      </c>
      <c r="CA46" s="9">
        <v>38.418688866335174</v>
      </c>
      <c r="CB46" s="9">
        <v>8.8881053303952093</v>
      </c>
      <c r="CC46" s="9">
        <v>23.516768813875025</v>
      </c>
      <c r="CD46" s="9">
        <v>3.6508974457455912</v>
      </c>
      <c r="CE46" s="9">
        <v>18.386000603647627</v>
      </c>
      <c r="CF46" s="9">
        <v>5.3087619279322604</v>
      </c>
      <c r="CG46" s="9">
        <v>2.0391158806686982</v>
      </c>
      <c r="CH46" s="9">
        <v>6.8008702214840691</v>
      </c>
      <c r="CI46" s="9">
        <v>1.2527175925928238</v>
      </c>
      <c r="CJ46" s="9">
        <v>7.3596669222485005</v>
      </c>
      <c r="CK46" s="9">
        <v>1.522094069484214</v>
      </c>
      <c r="CL46" s="9">
        <v>4.1564544617167574</v>
      </c>
      <c r="CM46" s="9">
        <v>0.57434076124058631</v>
      </c>
      <c r="CN46" s="9">
        <v>3.6528361412270516</v>
      </c>
      <c r="CO46" s="9">
        <v>0.45690085070714948</v>
      </c>
      <c r="CP46" s="9">
        <v>3.7365954371374475</v>
      </c>
      <c r="CQ46" s="9">
        <v>0.58161165576559293</v>
      </c>
      <c r="CR46" s="9">
        <v>0.91109178048637063</v>
      </c>
      <c r="CS46" s="9">
        <v>0.76091429061190419</v>
      </c>
      <c r="CT46" s="9">
        <v>0.28483800643864537</v>
      </c>
    </row>
    <row r="47" spans="1:98">
      <c r="A47" s="1" t="s">
        <v>271</v>
      </c>
      <c r="B47" s="1" t="s">
        <v>264</v>
      </c>
      <c r="C47" s="1" t="s">
        <v>737</v>
      </c>
      <c r="D47" s="55">
        <v>67.311111111111117</v>
      </c>
      <c r="E47" s="55">
        <v>3.7405555555555554</v>
      </c>
      <c r="I47" s="9">
        <v>219.48</v>
      </c>
      <c r="J47" s="1" t="s">
        <v>256</v>
      </c>
      <c r="K47" s="1" t="s">
        <v>52</v>
      </c>
      <c r="L47" s="1" t="s">
        <v>864</v>
      </c>
      <c r="M47" s="78" t="s">
        <v>862</v>
      </c>
      <c r="N47" s="78"/>
      <c r="P47" s="1" t="s">
        <v>815</v>
      </c>
      <c r="Q47" s="1" t="s">
        <v>286</v>
      </c>
      <c r="R47" s="4">
        <v>49.503</v>
      </c>
      <c r="S47" s="4">
        <v>1.835</v>
      </c>
      <c r="T47" s="4">
        <v>11.763999999999999</v>
      </c>
      <c r="U47" s="4">
        <v>13.957000000000001</v>
      </c>
      <c r="W47" s="4">
        <v>0.27300000000000002</v>
      </c>
      <c r="X47" s="4">
        <v>9.6370000000000005</v>
      </c>
      <c r="Y47" s="4">
        <v>9.3770000000000007</v>
      </c>
      <c r="Z47" s="4">
        <v>2.633</v>
      </c>
      <c r="AA47" s="4">
        <v>0.24</v>
      </c>
      <c r="AB47" s="4">
        <v>0.16700000000000001</v>
      </c>
      <c r="AC47" s="9">
        <v>4.4580604267906621</v>
      </c>
      <c r="AD47" s="21">
        <f t="shared" si="32"/>
        <v>99.385999999999981</v>
      </c>
      <c r="AE47" s="21">
        <f t="shared" si="33"/>
        <v>12.547343000000001</v>
      </c>
      <c r="AF47" s="23">
        <f t="shared" si="34"/>
        <v>0.57792145829450692</v>
      </c>
      <c r="AH47" s="16">
        <f t="shared" si="35"/>
        <v>49.80882619282395</v>
      </c>
      <c r="AI47" s="16">
        <f t="shared" si="36"/>
        <v>1.8463365061477475</v>
      </c>
      <c r="AJ47" s="16">
        <f t="shared" si="37"/>
        <v>11.836677197995694</v>
      </c>
      <c r="AK47" s="16">
        <f t="shared" si="38"/>
        <v>14.043225403980443</v>
      </c>
      <c r="AL47" s="16">
        <f t="shared" si="39"/>
        <v>0</v>
      </c>
      <c r="AM47" s="16">
        <f t="shared" si="40"/>
        <v>0.27468657557402459</v>
      </c>
      <c r="AN47" s="16">
        <f t="shared" si="41"/>
        <v>9.6965367355563181</v>
      </c>
      <c r="AO47" s="16">
        <f t="shared" si="42"/>
        <v>9.4349304731048669</v>
      </c>
      <c r="AP47" s="16">
        <f t="shared" si="43"/>
        <v>2.6492664962872041</v>
      </c>
      <c r="AQ47" s="16">
        <f t="shared" si="44"/>
        <v>0.24148270380134026</v>
      </c>
      <c r="AR47" s="16">
        <f t="shared" si="45"/>
        <v>0.16803171472843259</v>
      </c>
      <c r="AS47" s="16">
        <f t="shared" si="46"/>
        <v>100.00000000000003</v>
      </c>
      <c r="AT47" s="16">
        <f t="shared" si="47"/>
        <v>12.624859638178419</v>
      </c>
      <c r="AV47" s="1" t="s">
        <v>400</v>
      </c>
      <c r="AW47" s="69">
        <v>2.3954172721254561</v>
      </c>
      <c r="AX47" s="69"/>
      <c r="AY47" s="69">
        <v>39.548032270454549</v>
      </c>
      <c r="AZ47" s="69">
        <v>325.07645409237631</v>
      </c>
      <c r="BA47" s="69"/>
      <c r="BB47" s="69">
        <v>239.6327570382972</v>
      </c>
      <c r="BC47" s="69"/>
      <c r="BD47" s="69">
        <v>53.209916649270838</v>
      </c>
      <c r="BE47" s="69"/>
      <c r="BF47" s="69"/>
      <c r="BG47" s="69"/>
      <c r="BH47" s="69">
        <v>40.879303564471279</v>
      </c>
      <c r="BI47" s="69"/>
      <c r="BJ47" s="69">
        <v>90.137052635254236</v>
      </c>
      <c r="BK47" s="69"/>
      <c r="BL47" s="69">
        <v>17.94248754671105</v>
      </c>
      <c r="BM47" s="69"/>
      <c r="BN47" s="69">
        <v>0.929368635420603</v>
      </c>
      <c r="BP47" s="69">
        <v>150.72561240318774</v>
      </c>
      <c r="BQ47" s="69"/>
      <c r="BR47" s="69">
        <v>34.37398799996042</v>
      </c>
      <c r="BS47" s="69"/>
      <c r="BT47" s="69">
        <v>106.45276178818474</v>
      </c>
      <c r="BV47" s="9">
        <v>6.554467815443882</v>
      </c>
      <c r="BZ47" s="9">
        <v>7.1316262860085348E-3</v>
      </c>
      <c r="CA47" s="9">
        <v>31.649159753755185</v>
      </c>
      <c r="CB47" s="9">
        <v>6.2562367571733288</v>
      </c>
      <c r="CC47" s="9">
        <v>16.644497617669703</v>
      </c>
      <c r="CD47" s="9">
        <v>2.6650053505892379</v>
      </c>
      <c r="CE47" s="9">
        <v>13.214676344128353</v>
      </c>
      <c r="CF47" s="9">
        <v>3.9734958019221303</v>
      </c>
      <c r="CG47" s="9">
        <v>1.5881200533189703</v>
      </c>
      <c r="CH47" s="9">
        <v>5.0591216919188469</v>
      </c>
      <c r="CI47" s="9">
        <v>0.98587750141721342</v>
      </c>
      <c r="CJ47" s="9">
        <v>6.0139037272122229</v>
      </c>
      <c r="CK47" s="9">
        <v>1.2543697974948265</v>
      </c>
      <c r="CL47" s="9">
        <v>3.5641161565023918</v>
      </c>
      <c r="CM47" s="9">
        <v>0.48737690883308965</v>
      </c>
      <c r="CN47" s="9">
        <v>3.1511745615517026</v>
      </c>
      <c r="CO47" s="9">
        <v>0.40245041479555727</v>
      </c>
      <c r="CP47" s="9">
        <v>2.7403196270774122</v>
      </c>
      <c r="CQ47" s="9">
        <v>0.40833117734074414</v>
      </c>
      <c r="CR47" s="9">
        <v>0.68238806109753603</v>
      </c>
      <c r="CS47" s="9">
        <v>0.49565585460692574</v>
      </c>
      <c r="CT47" s="9">
        <v>8.4763621188842286E-2</v>
      </c>
    </row>
    <row r="48" spans="1:98">
      <c r="A48" s="1" t="s">
        <v>271</v>
      </c>
      <c r="B48" s="1" t="s">
        <v>264</v>
      </c>
      <c r="C48" s="1" t="s">
        <v>738</v>
      </c>
      <c r="D48" s="55">
        <v>67.311111111111117</v>
      </c>
      <c r="E48" s="55">
        <v>3.7405555555555554</v>
      </c>
      <c r="I48" s="9">
        <v>228.86</v>
      </c>
      <c r="J48" s="1" t="s">
        <v>256</v>
      </c>
      <c r="K48" s="1" t="s">
        <v>52</v>
      </c>
      <c r="L48" s="1" t="s">
        <v>864</v>
      </c>
      <c r="M48" s="78" t="s">
        <v>862</v>
      </c>
      <c r="N48" s="78"/>
      <c r="P48" s="1" t="s">
        <v>815</v>
      </c>
      <c r="Q48" s="1" t="s">
        <v>286</v>
      </c>
      <c r="R48" s="4">
        <v>49.341999999999999</v>
      </c>
      <c r="S48" s="4">
        <v>2.2410000000000001</v>
      </c>
      <c r="T48" s="4">
        <v>13.491</v>
      </c>
      <c r="U48" s="4">
        <v>14.103</v>
      </c>
      <c r="W48" s="4">
        <v>0.23499999999999999</v>
      </c>
      <c r="X48" s="4">
        <v>6.976</v>
      </c>
      <c r="Y48" s="4">
        <v>10.089</v>
      </c>
      <c r="Z48" s="4">
        <v>2.81</v>
      </c>
      <c r="AA48" s="4">
        <v>0.152</v>
      </c>
      <c r="AB48" s="4">
        <v>0.20200000000000001</v>
      </c>
      <c r="AC48" s="9">
        <v>3.180152478834152</v>
      </c>
      <c r="AD48" s="21">
        <f t="shared" si="32"/>
        <v>99.640999999999991</v>
      </c>
      <c r="AE48" s="21">
        <f t="shared" si="33"/>
        <v>12.678597</v>
      </c>
      <c r="AF48" s="23">
        <f t="shared" si="34"/>
        <v>0.49517665542268863</v>
      </c>
      <c r="AH48" s="16">
        <f t="shared" si="35"/>
        <v>49.519775995825015</v>
      </c>
      <c r="AI48" s="16">
        <f t="shared" si="36"/>
        <v>2.2490741762928921</v>
      </c>
      <c r="AJ48" s="16">
        <f t="shared" si="37"/>
        <v>13.539607189811424</v>
      </c>
      <c r="AK48" s="16">
        <f t="shared" si="38"/>
        <v>14.153812185746832</v>
      </c>
      <c r="AL48" s="16">
        <f t="shared" si="39"/>
        <v>0</v>
      </c>
      <c r="AM48" s="16">
        <f t="shared" si="40"/>
        <v>0.23584668961572045</v>
      </c>
      <c r="AN48" s="16">
        <f t="shared" si="41"/>
        <v>7.0011340713160255</v>
      </c>
      <c r="AO48" s="16">
        <f t="shared" si="42"/>
        <v>10.125350006523421</v>
      </c>
      <c r="AP48" s="16">
        <f t="shared" si="43"/>
        <v>2.8201242460432958</v>
      </c>
      <c r="AQ48" s="16">
        <f t="shared" si="44"/>
        <v>0.15254764604931706</v>
      </c>
      <c r="AR48" s="16">
        <f t="shared" si="45"/>
        <v>0.20272779277606612</v>
      </c>
      <c r="AS48" s="16">
        <f t="shared" si="46"/>
        <v>100</v>
      </c>
      <c r="AT48" s="16">
        <f t="shared" si="47"/>
        <v>12.724277154986401</v>
      </c>
      <c r="AV48" s="1" t="s">
        <v>400</v>
      </c>
      <c r="AW48" s="69">
        <v>2.4277895355071983</v>
      </c>
      <c r="AX48" s="69"/>
      <c r="AY48" s="69">
        <v>41.191414046945766</v>
      </c>
      <c r="AZ48" s="69">
        <v>348.09901617707067</v>
      </c>
      <c r="BA48" s="69"/>
      <c r="BB48" s="69">
        <v>135.70618539502286</v>
      </c>
      <c r="BC48" s="69"/>
      <c r="BD48" s="69">
        <v>48.48370148334039</v>
      </c>
      <c r="BE48" s="69"/>
      <c r="BF48" s="69"/>
      <c r="BG48" s="69"/>
      <c r="BH48" s="69">
        <v>133.32971073511129</v>
      </c>
      <c r="BI48" s="69"/>
      <c r="BJ48" s="69">
        <v>116.78121784605354</v>
      </c>
      <c r="BK48" s="69"/>
      <c r="BL48" s="69">
        <v>20.433514759261939</v>
      </c>
      <c r="BM48" s="69"/>
      <c r="BN48" s="69">
        <v>0.71015938127701561</v>
      </c>
      <c r="BP48" s="69">
        <v>178.60392307241386</v>
      </c>
      <c r="BQ48" s="69"/>
      <c r="BR48" s="69">
        <v>34.251062910745667</v>
      </c>
      <c r="BS48" s="69"/>
      <c r="BT48" s="69">
        <v>121.03858956764975</v>
      </c>
      <c r="BV48" s="9">
        <v>8.1637812455059322</v>
      </c>
      <c r="BZ48" s="9">
        <v>5.628660277695487E-3</v>
      </c>
      <c r="CA48" s="9">
        <v>37.554971679758452</v>
      </c>
      <c r="CB48" s="9">
        <v>7.2826766807070387</v>
      </c>
      <c r="CC48" s="9">
        <v>19.110314980516581</v>
      </c>
      <c r="CD48" s="9">
        <v>2.9513312648563059</v>
      </c>
      <c r="CE48" s="9">
        <v>14.652461446435375</v>
      </c>
      <c r="CF48" s="9">
        <v>4.3720755585463555</v>
      </c>
      <c r="CG48" s="9">
        <v>1.7277626400930399</v>
      </c>
      <c r="CH48" s="9">
        <v>5.5259087743901558</v>
      </c>
      <c r="CI48" s="9">
        <v>1.0008548667895125</v>
      </c>
      <c r="CJ48" s="9">
        <v>6.2391361705083952</v>
      </c>
      <c r="CK48" s="9">
        <v>1.2816589313283184</v>
      </c>
      <c r="CL48" s="9">
        <v>3.5798204870314163</v>
      </c>
      <c r="CM48" s="9">
        <v>0.50098224042719108</v>
      </c>
      <c r="CN48" s="9">
        <v>3.148875311284312</v>
      </c>
      <c r="CO48" s="9">
        <v>0.41644879413949026</v>
      </c>
      <c r="CP48" s="9">
        <v>3.0828123605378215</v>
      </c>
      <c r="CQ48" s="9">
        <v>0.53447792112817016</v>
      </c>
      <c r="CR48" s="9">
        <v>0.86259753335486089</v>
      </c>
      <c r="CS48" s="9">
        <v>0.67635067902978308</v>
      </c>
      <c r="CT48" s="9">
        <v>0.19798200610015471</v>
      </c>
    </row>
    <row r="49" spans="1:98">
      <c r="A49" s="1" t="s">
        <v>271</v>
      </c>
      <c r="B49" s="1" t="s">
        <v>264</v>
      </c>
      <c r="C49" s="1" t="s">
        <v>739</v>
      </c>
      <c r="D49" s="55">
        <v>67.311111111111117</v>
      </c>
      <c r="E49" s="55">
        <v>3.7405555555555554</v>
      </c>
      <c r="I49" s="9">
        <v>235.36</v>
      </c>
      <c r="J49" s="1" t="s">
        <v>256</v>
      </c>
      <c r="K49" s="1" t="s">
        <v>52</v>
      </c>
      <c r="L49" s="1" t="s">
        <v>864</v>
      </c>
      <c r="M49" s="78" t="s">
        <v>862</v>
      </c>
      <c r="N49" s="78"/>
      <c r="P49" s="1" t="s">
        <v>815</v>
      </c>
      <c r="Q49" s="1" t="s">
        <v>286</v>
      </c>
      <c r="R49" s="4">
        <v>47.362000000000002</v>
      </c>
      <c r="S49" s="4">
        <v>2.7450000000000001</v>
      </c>
      <c r="T49" s="4">
        <v>13.217000000000001</v>
      </c>
      <c r="U49" s="4">
        <v>15.882</v>
      </c>
      <c r="W49" s="4">
        <v>0.20899999999999999</v>
      </c>
      <c r="X49" s="4">
        <v>6.5839999999999996</v>
      </c>
      <c r="Y49" s="4">
        <v>8.3949999999999996</v>
      </c>
      <c r="Z49" s="4">
        <v>3.2250000000000001</v>
      </c>
      <c r="AA49" s="4">
        <v>0.24399999999999999</v>
      </c>
      <c r="AB49" s="4">
        <v>0.22700000000000001</v>
      </c>
      <c r="AC49" s="9">
        <v>3.5304464360500214</v>
      </c>
      <c r="AD49" s="21">
        <f>SUM(R49:AB49)</f>
        <v>98.09</v>
      </c>
      <c r="AE49" s="21">
        <f t="shared" si="33"/>
        <v>14.277918</v>
      </c>
      <c r="AF49" s="23">
        <f t="shared" si="34"/>
        <v>0.45117457574781633</v>
      </c>
      <c r="AH49" s="16">
        <f t="shared" si="35"/>
        <v>48.284228769497396</v>
      </c>
      <c r="AI49" s="16">
        <f t="shared" si="36"/>
        <v>2.7984504026914059</v>
      </c>
      <c r="AJ49" s="16">
        <f t="shared" si="37"/>
        <v>13.474360281374247</v>
      </c>
      <c r="AK49" s="16">
        <f t="shared" si="38"/>
        <v>16.191252930981751</v>
      </c>
      <c r="AL49" s="16">
        <f t="shared" si="39"/>
        <v>0</v>
      </c>
      <c r="AM49" s="16">
        <f t="shared" si="40"/>
        <v>0.21306962993169537</v>
      </c>
      <c r="AN49" s="16">
        <f t="shared" si="41"/>
        <v>6.7122030788051781</v>
      </c>
      <c r="AO49" s="16">
        <f t="shared" si="42"/>
        <v>8.558466714242023</v>
      </c>
      <c r="AP49" s="16">
        <f t="shared" si="43"/>
        <v>3.287796921194821</v>
      </c>
      <c r="AQ49" s="16">
        <f t="shared" si="44"/>
        <v>0.24875114690590272</v>
      </c>
      <c r="AR49" s="16">
        <f t="shared" si="45"/>
        <v>0.23142012437557344</v>
      </c>
      <c r="AS49" s="16">
        <f t="shared" si="46"/>
        <v>100</v>
      </c>
      <c r="AT49" s="16">
        <f t="shared" si="47"/>
        <v>14.555936384952595</v>
      </c>
      <c r="AV49" s="1" t="s">
        <v>400</v>
      </c>
      <c r="AW49" s="69">
        <v>9.5055762635662955</v>
      </c>
      <c r="AX49" s="69"/>
      <c r="AY49" s="69">
        <v>44.258304828018076</v>
      </c>
      <c r="AZ49" s="69">
        <v>390.51026234631621</v>
      </c>
      <c r="BA49" s="69"/>
      <c r="BB49" s="69">
        <v>72.449671833622958</v>
      </c>
      <c r="BC49" s="69"/>
      <c r="BD49" s="69">
        <v>54.769274201582164</v>
      </c>
      <c r="BE49" s="69"/>
      <c r="BF49" s="69"/>
      <c r="BG49" s="69"/>
      <c r="BH49" s="69">
        <v>114.53743484007104</v>
      </c>
      <c r="BI49" s="69"/>
      <c r="BJ49" s="69">
        <v>114.825694109111</v>
      </c>
      <c r="BK49" s="69"/>
      <c r="BL49" s="69">
        <v>22.732326274765168</v>
      </c>
      <c r="BM49" s="69"/>
      <c r="BN49" s="69">
        <v>2.664465843538129</v>
      </c>
      <c r="BP49" s="69">
        <v>188.08054000767527</v>
      </c>
      <c r="BQ49" s="69"/>
      <c r="BR49" s="69">
        <v>44.763830399147196</v>
      </c>
      <c r="BS49" s="69"/>
      <c r="BT49" s="69">
        <v>152.20005720566607</v>
      </c>
      <c r="BV49" s="9">
        <v>9.5592141537860549</v>
      </c>
      <c r="BZ49" s="9">
        <v>3.6486772850668626E-2</v>
      </c>
      <c r="CA49" s="9">
        <v>45.631156298819796</v>
      </c>
      <c r="CB49" s="9">
        <v>9.2521982936259164</v>
      </c>
      <c r="CC49" s="9">
        <v>24.321043742722622</v>
      </c>
      <c r="CD49" s="9">
        <v>3.67507802775352</v>
      </c>
      <c r="CE49" s="9">
        <v>18.314771952980237</v>
      </c>
      <c r="CF49" s="9">
        <v>5.7717281755099821</v>
      </c>
      <c r="CG49" s="9">
        <v>1.8274332454319555</v>
      </c>
      <c r="CH49" s="9">
        <v>7.2783375738751177</v>
      </c>
      <c r="CI49" s="9">
        <v>1.2058751066849882</v>
      </c>
      <c r="CJ49" s="9">
        <v>7.4838049089143786</v>
      </c>
      <c r="CK49" s="9">
        <v>1.550470030531331</v>
      </c>
      <c r="CL49" s="9">
        <v>4.3582473066068657</v>
      </c>
      <c r="CM49" s="9">
        <v>0.60951432425551366</v>
      </c>
      <c r="CN49" s="9">
        <v>3.685432331686612</v>
      </c>
      <c r="CO49" s="9">
        <v>0.56233553086165355</v>
      </c>
      <c r="CP49" s="9">
        <v>3.6853071029351647</v>
      </c>
      <c r="CQ49" s="9">
        <v>0.54522927720485381</v>
      </c>
      <c r="CR49" s="9">
        <v>1.118646082682794</v>
      </c>
      <c r="CS49" s="9">
        <v>0.7265873676619552</v>
      </c>
      <c r="CT49" s="9">
        <v>0.28838510722425792</v>
      </c>
    </row>
    <row r="50" spans="1:98">
      <c r="A50" s="1" t="s">
        <v>271</v>
      </c>
      <c r="B50" s="1" t="s">
        <v>264</v>
      </c>
      <c r="C50" s="1" t="s">
        <v>740</v>
      </c>
      <c r="D50" s="55">
        <v>67.311111111111117</v>
      </c>
      <c r="E50" s="55">
        <v>3.7405555555555554</v>
      </c>
      <c r="I50" s="9">
        <v>239.68</v>
      </c>
      <c r="J50" s="1" t="s">
        <v>256</v>
      </c>
      <c r="K50" s="1" t="s">
        <v>52</v>
      </c>
      <c r="L50" s="1" t="s">
        <v>864</v>
      </c>
      <c r="M50" s="78" t="s">
        <v>862</v>
      </c>
      <c r="N50" s="78"/>
      <c r="P50" s="1" t="s">
        <v>815</v>
      </c>
      <c r="Q50" s="1" t="s">
        <v>286</v>
      </c>
      <c r="R50" s="4">
        <v>48.255000000000003</v>
      </c>
      <c r="S50" s="4">
        <v>2.31</v>
      </c>
      <c r="T50" s="4">
        <v>14.76</v>
      </c>
      <c r="U50" s="4">
        <v>14.603</v>
      </c>
      <c r="W50" s="4">
        <v>0.20499999999999999</v>
      </c>
      <c r="X50" s="4">
        <v>6.6429999999999998</v>
      </c>
      <c r="Y50" s="4">
        <v>9.0809999999999995</v>
      </c>
      <c r="Z50" s="4">
        <v>3.1549999999999998</v>
      </c>
      <c r="AA50" s="4">
        <v>0.189</v>
      </c>
      <c r="AB50" s="4">
        <v>0.22600000000000001</v>
      </c>
      <c r="AC50" s="9">
        <v>3.1538339166401497</v>
      </c>
      <c r="AD50" s="21">
        <f t="shared" si="32"/>
        <v>99.426999999999992</v>
      </c>
      <c r="AE50" s="21">
        <f t="shared" si="33"/>
        <v>13.128097</v>
      </c>
      <c r="AF50" s="23">
        <f t="shared" si="34"/>
        <v>0.47426141083898843</v>
      </c>
      <c r="AH50" s="16">
        <f t="shared" si="35"/>
        <v>48.533094632242758</v>
      </c>
      <c r="AI50" s="16">
        <f t="shared" si="36"/>
        <v>2.323312581089644</v>
      </c>
      <c r="AJ50" s="16">
        <f t="shared" si="37"/>
        <v>14.845062206442918</v>
      </c>
      <c r="AK50" s="16">
        <f t="shared" si="38"/>
        <v>14.687157411970592</v>
      </c>
      <c r="AL50" s="16">
        <f t="shared" si="39"/>
        <v>0</v>
      </c>
      <c r="AM50" s="16">
        <f t="shared" si="40"/>
        <v>0.20618141953392943</v>
      </c>
      <c r="AN50" s="16">
        <f t="shared" si="41"/>
        <v>6.68128375592143</v>
      </c>
      <c r="AO50" s="16">
        <f t="shared" si="42"/>
        <v>9.1333340038420143</v>
      </c>
      <c r="AP50" s="16">
        <f t="shared" si="43"/>
        <v>3.1731823347782799</v>
      </c>
      <c r="AQ50" s="16">
        <f t="shared" si="44"/>
        <v>0.19008921118006175</v>
      </c>
      <c r="AR50" s="16">
        <f t="shared" si="45"/>
        <v>0.22730244299838076</v>
      </c>
      <c r="AS50" s="16">
        <f t="shared" si="46"/>
        <v>100</v>
      </c>
      <c r="AT50" s="16">
        <f t="shared" si="47"/>
        <v>13.203754513361563</v>
      </c>
      <c r="AV50" s="1" t="s">
        <v>400</v>
      </c>
      <c r="AW50" s="69">
        <v>8.132475927603469</v>
      </c>
      <c r="AX50" s="69"/>
      <c r="AY50" s="69">
        <v>34.259457296636967</v>
      </c>
      <c r="AZ50" s="69">
        <v>336.80309571761092</v>
      </c>
      <c r="BA50" s="69"/>
      <c r="BB50" s="69">
        <v>57.630970461462844</v>
      </c>
      <c r="BC50" s="69"/>
      <c r="BD50" s="69">
        <v>51.175504668038705</v>
      </c>
      <c r="BE50" s="69"/>
      <c r="BF50" s="69"/>
      <c r="BG50" s="69"/>
      <c r="BH50" s="69">
        <v>251.22745763970434</v>
      </c>
      <c r="BI50" s="69"/>
      <c r="BJ50" s="69">
        <v>96.246039164702609</v>
      </c>
      <c r="BK50" s="69"/>
      <c r="BL50" s="69">
        <v>21.253839676080954</v>
      </c>
      <c r="BM50" s="69"/>
      <c r="BN50" s="69">
        <v>1.6785401131645958</v>
      </c>
      <c r="BP50" s="69">
        <v>186.02777015639157</v>
      </c>
      <c r="BQ50" s="69"/>
      <c r="BR50" s="69">
        <v>45.280516839834092</v>
      </c>
      <c r="BS50" s="69"/>
      <c r="BT50" s="69">
        <v>124.09672494288195</v>
      </c>
      <c r="BV50" s="9">
        <v>7.8414140705992059</v>
      </c>
      <c r="BZ50" s="9">
        <v>2.2016557612726383E-2</v>
      </c>
      <c r="CA50" s="9">
        <v>28.802548312009886</v>
      </c>
      <c r="CB50" s="9">
        <v>8.1336341241856918</v>
      </c>
      <c r="CC50" s="9">
        <v>20.779302991986384</v>
      </c>
      <c r="CD50" s="9">
        <v>3.1524099485624242</v>
      </c>
      <c r="CE50" s="9">
        <v>15.614154245489388</v>
      </c>
      <c r="CF50" s="9">
        <v>5.1339337009070176</v>
      </c>
      <c r="CG50" s="9">
        <v>1.6716323023958337</v>
      </c>
      <c r="CH50" s="9">
        <v>6.5562825970018377</v>
      </c>
      <c r="CI50" s="9">
        <v>1.0697683631597468</v>
      </c>
      <c r="CJ50" s="9">
        <v>6.6427322395947899</v>
      </c>
      <c r="CK50" s="9">
        <v>1.4449111915202457</v>
      </c>
      <c r="CL50" s="9">
        <v>4.0684582628244357</v>
      </c>
      <c r="CM50" s="9">
        <v>0.59673877949777343</v>
      </c>
      <c r="CN50" s="9">
        <v>3.3995907318465144</v>
      </c>
      <c r="CO50" s="9">
        <v>0.52248370021647006</v>
      </c>
      <c r="CP50" s="9">
        <v>3.0579989314184672</v>
      </c>
      <c r="CQ50" s="9">
        <v>0.46973895941900051</v>
      </c>
      <c r="CR50" s="9">
        <v>0.95033445415563678</v>
      </c>
      <c r="CS50" s="9">
        <v>0.58852715080447127</v>
      </c>
      <c r="CT50" s="9">
        <v>0.24085211711994442</v>
      </c>
    </row>
    <row r="51" spans="1:98">
      <c r="A51" s="1" t="s">
        <v>271</v>
      </c>
      <c r="B51" s="1" t="s">
        <v>264</v>
      </c>
      <c r="C51" s="1" t="s">
        <v>778</v>
      </c>
      <c r="D51" s="55">
        <v>67.311111111111117</v>
      </c>
      <c r="E51" s="55">
        <v>3.7405555555555554</v>
      </c>
      <c r="I51" s="9">
        <v>130.83000000000001</v>
      </c>
      <c r="J51" s="1" t="s">
        <v>256</v>
      </c>
      <c r="K51" s="1" t="s">
        <v>52</v>
      </c>
      <c r="L51" s="1" t="s">
        <v>864</v>
      </c>
      <c r="M51" s="78" t="s">
        <v>862</v>
      </c>
      <c r="N51" s="78"/>
      <c r="P51" s="1" t="s">
        <v>262</v>
      </c>
      <c r="Q51" s="1" t="s">
        <v>269</v>
      </c>
      <c r="R51" s="4">
        <v>50.15</v>
      </c>
      <c r="S51" s="4">
        <v>1.5980000000000001</v>
      </c>
      <c r="T51" s="4">
        <v>15.73</v>
      </c>
      <c r="U51" s="4">
        <v>16.350000000000001</v>
      </c>
      <c r="W51" s="27">
        <v>7.3999999999999996E-2</v>
      </c>
      <c r="X51" s="4">
        <v>4.0199999999999996</v>
      </c>
      <c r="Y51" s="4">
        <v>1.07</v>
      </c>
      <c r="Z51" s="4">
        <v>1.31</v>
      </c>
      <c r="AA51" s="4">
        <v>2.58</v>
      </c>
      <c r="AB51" s="4">
        <v>1.9E-2</v>
      </c>
      <c r="AC51" s="9">
        <v>9.77</v>
      </c>
      <c r="AD51" s="21">
        <f t="shared" ref="AD51:AD62" si="48">SUM(R51:AC51)</f>
        <v>102.67099999999999</v>
      </c>
      <c r="AE51" s="21">
        <f t="shared" ref="AE51:AE62" si="49">V51+0.899*U51</f>
        <v>14.698650000000002</v>
      </c>
      <c r="AF51" s="23">
        <f t="shared" ref="AF51:AF62" si="50">(X51/40.3)/((X51/40.3)+(AE51/71.844))</f>
        <v>0.32776124906193443</v>
      </c>
      <c r="AH51" s="16">
        <f t="shared" ref="AH51:AH62" si="51">100*R51/SUM($R51:$AB51)</f>
        <v>53.982196101226037</v>
      </c>
      <c r="AI51" s="16">
        <f t="shared" ref="AI51:AI62" si="52">100*S51/SUM($R51:$AB51)</f>
        <v>1.7201106554288976</v>
      </c>
      <c r="AJ51" s="16">
        <f t="shared" ref="AJ51:AJ62" si="53">100*T51/SUM($R51:$AB51)</f>
        <v>16.932002884791338</v>
      </c>
      <c r="AK51" s="16">
        <f t="shared" ref="AK51:AK62" si="54">100*U51/SUM($R51:$AB51)</f>
        <v>17.599379985145479</v>
      </c>
      <c r="AL51" s="16">
        <f t="shared" ref="AL51:AL62" si="55">100*V51/SUM($R51:$AB51)</f>
        <v>0</v>
      </c>
      <c r="AM51" s="16">
        <f t="shared" ref="AM51:AM62" si="56">100*W51/SUM($R51:$AB51)</f>
        <v>7.9654686171300629E-2</v>
      </c>
      <c r="AN51" s="16">
        <f t="shared" ref="AN51:AN62" si="57">100*X51/SUM($R51:$AB51)</f>
        <v>4.3271870055220072</v>
      </c>
      <c r="AO51" s="16">
        <f t="shared" ref="AO51:AO62" si="58">100*Y51/SUM($R51:$AB51)</f>
        <v>1.1517637054498875</v>
      </c>
      <c r="AP51" s="16">
        <f t="shared" ref="AP51:AP62" si="59">100*Z51/SUM($R51:$AB51)</f>
        <v>1.4101032281676193</v>
      </c>
      <c r="AQ51" s="16">
        <f t="shared" ref="AQ51:AQ62" si="60">100*AA51/SUM($R51:$AB51)</f>
        <v>2.7771498692156169</v>
      </c>
      <c r="AR51" s="16">
        <f t="shared" ref="AR51:AR62" si="61">100*AB51/SUM($R51:$AB51)</f>
        <v>2.0451878881820432E-2</v>
      </c>
      <c r="AS51" s="16">
        <f t="shared" ref="AS51:AS62" si="62">SUM(AH51:AR51)</f>
        <v>99.999999999999972</v>
      </c>
      <c r="AT51" s="16">
        <f t="shared" ref="AT51:AT62" si="63">AL51+0.899*AK51</f>
        <v>15.821842606645786</v>
      </c>
      <c r="AV51" s="1" t="s">
        <v>401</v>
      </c>
      <c r="AW51" s="69">
        <v>36.230123531855355</v>
      </c>
      <c r="AX51" s="69">
        <v>0.47867418816970592</v>
      </c>
      <c r="AY51" s="69">
        <v>43.549117027633223</v>
      </c>
      <c r="AZ51" s="69">
        <v>86.851311035350022</v>
      </c>
      <c r="BA51" s="69"/>
      <c r="BB51" s="69">
        <v>229.52873978426473</v>
      </c>
      <c r="BC51" s="69"/>
      <c r="BD51" s="69">
        <v>50.026152565715847</v>
      </c>
      <c r="BE51" s="69"/>
      <c r="BF51" s="69">
        <v>100.15078685630273</v>
      </c>
      <c r="BG51" s="69"/>
      <c r="BH51" s="69">
        <v>177.28669110713824</v>
      </c>
      <c r="BI51" s="69"/>
      <c r="BJ51" s="69">
        <v>65.41001944855428</v>
      </c>
      <c r="BK51" s="69"/>
      <c r="BL51" s="69">
        <v>19.551142452243017</v>
      </c>
      <c r="BM51" s="69"/>
      <c r="BN51" s="69">
        <v>63.85885859967518</v>
      </c>
      <c r="BP51" s="69">
        <v>31.178655081333652</v>
      </c>
      <c r="BQ51" s="69"/>
      <c r="BR51" s="69">
        <v>5.6606990112402871</v>
      </c>
      <c r="BS51" s="69"/>
      <c r="BT51" s="69">
        <v>91.043827802862111</v>
      </c>
      <c r="BV51" s="9">
        <v>4.7344277236730354</v>
      </c>
      <c r="BZ51" s="9">
        <v>0.61480394351457657</v>
      </c>
      <c r="CA51" s="9">
        <v>3.9778945329230351</v>
      </c>
      <c r="CB51" s="9">
        <v>1.245992980684677</v>
      </c>
      <c r="CC51" s="9">
        <v>5.1992300109479945</v>
      </c>
      <c r="CD51" s="9">
        <v>0.66505239515789749</v>
      </c>
      <c r="CE51" s="9">
        <v>3.2970188552650646</v>
      </c>
      <c r="CF51" s="9">
        <v>1.2187879309873886</v>
      </c>
      <c r="CG51" s="9">
        <v>0.50222301522156465</v>
      </c>
      <c r="CH51" s="9">
        <v>1.3198668759420713</v>
      </c>
      <c r="CI51" s="9">
        <v>0.2464996187211301</v>
      </c>
      <c r="CJ51" s="9">
        <v>1.470739017532487</v>
      </c>
      <c r="CK51" s="9">
        <v>0.29892965334295946</v>
      </c>
      <c r="CL51" s="9">
        <v>0.83932965060738618</v>
      </c>
      <c r="CM51" s="9">
        <v>0.14252290143123722</v>
      </c>
      <c r="CN51" s="9">
        <v>1.0816972630156112</v>
      </c>
      <c r="CO51" s="9">
        <v>0.17032173408825912</v>
      </c>
      <c r="CP51" s="9">
        <v>2.5207919343454592</v>
      </c>
      <c r="CQ51" s="9">
        <v>0.33676717382013083</v>
      </c>
      <c r="CR51" s="9">
        <v>0.22932327777837136</v>
      </c>
      <c r="CS51" s="9">
        <v>0.42031751917601345</v>
      </c>
      <c r="CT51" s="9">
        <v>0.1415122613660022</v>
      </c>
    </row>
    <row r="52" spans="1:98">
      <c r="A52" s="1" t="s">
        <v>271</v>
      </c>
      <c r="B52" s="1" t="s">
        <v>264</v>
      </c>
      <c r="C52" s="1" t="s">
        <v>779</v>
      </c>
      <c r="D52" s="55">
        <v>67.311111111111117</v>
      </c>
      <c r="E52" s="55">
        <v>3.7405555555555554</v>
      </c>
      <c r="I52" s="9">
        <v>156.06</v>
      </c>
      <c r="J52" s="1" t="s">
        <v>256</v>
      </c>
      <c r="K52" s="1" t="s">
        <v>52</v>
      </c>
      <c r="L52" s="1" t="s">
        <v>864</v>
      </c>
      <c r="M52" s="78" t="s">
        <v>862</v>
      </c>
      <c r="N52" s="78"/>
      <c r="P52" s="1" t="s">
        <v>262</v>
      </c>
      <c r="Q52" s="1" t="s">
        <v>269</v>
      </c>
      <c r="R52" s="4">
        <v>48.51</v>
      </c>
      <c r="S52" s="4">
        <v>2.258</v>
      </c>
      <c r="T52" s="4">
        <v>14.4</v>
      </c>
      <c r="U52" s="4">
        <v>13.93</v>
      </c>
      <c r="W52" s="27">
        <v>0.187</v>
      </c>
      <c r="X52" s="4">
        <v>6.5</v>
      </c>
      <c r="Y52" s="4">
        <v>9.77</v>
      </c>
      <c r="Z52" s="4">
        <v>2.87</v>
      </c>
      <c r="AA52" s="4">
        <v>0.17</v>
      </c>
      <c r="AB52" s="4">
        <v>0.19800000000000001</v>
      </c>
      <c r="AC52" s="9">
        <v>0.65</v>
      </c>
      <c r="AD52" s="21">
        <f t="shared" si="48"/>
        <v>99.443000000000012</v>
      </c>
      <c r="AE52" s="21">
        <f t="shared" si="49"/>
        <v>12.523070000000001</v>
      </c>
      <c r="AF52" s="23">
        <f t="shared" si="50"/>
        <v>0.48060355522205356</v>
      </c>
      <c r="AH52" s="16">
        <f t="shared" si="51"/>
        <v>49.102669217454675</v>
      </c>
      <c r="AI52" s="16">
        <f t="shared" si="52"/>
        <v>2.2855870355187107</v>
      </c>
      <c r="AJ52" s="16">
        <f t="shared" si="53"/>
        <v>14.575931493121981</v>
      </c>
      <c r="AK52" s="16">
        <f t="shared" si="54"/>
        <v>14.100189284665916</v>
      </c>
      <c r="AL52" s="16">
        <f t="shared" si="55"/>
        <v>0</v>
      </c>
      <c r="AM52" s="16">
        <f t="shared" si="56"/>
        <v>0.18928466591762572</v>
      </c>
      <c r="AN52" s="16">
        <f t="shared" si="57"/>
        <v>6.5794135212008946</v>
      </c>
      <c r="AO52" s="16">
        <f t="shared" si="58"/>
        <v>9.8893646310973438</v>
      </c>
      <c r="AP52" s="16">
        <f t="shared" si="59"/>
        <v>2.9050641239763948</v>
      </c>
      <c r="AQ52" s="16">
        <f t="shared" si="60"/>
        <v>0.1720769690160234</v>
      </c>
      <c r="AR52" s="16">
        <f t="shared" si="61"/>
        <v>0.20041905803042726</v>
      </c>
      <c r="AS52" s="16">
        <f t="shared" si="62"/>
        <v>99.999999999999972</v>
      </c>
      <c r="AT52" s="16">
        <f t="shared" si="63"/>
        <v>12.676070166914659</v>
      </c>
      <c r="AV52" s="1" t="s">
        <v>401</v>
      </c>
      <c r="AW52" s="69">
        <v>7.7693599320193041</v>
      </c>
      <c r="AX52" s="69">
        <v>0.68496558585472422</v>
      </c>
      <c r="AY52" s="69">
        <v>39.622227310227636</v>
      </c>
      <c r="AZ52" s="69">
        <v>387.19205137678625</v>
      </c>
      <c r="BA52" s="69"/>
      <c r="BB52" s="69">
        <v>93.06653539466906</v>
      </c>
      <c r="BC52" s="69"/>
      <c r="BD52" s="69">
        <v>48.923014054915839</v>
      </c>
      <c r="BE52" s="69"/>
      <c r="BF52" s="69">
        <v>66.300013936628957</v>
      </c>
      <c r="BG52" s="69"/>
      <c r="BH52" s="69">
        <v>149.79605538352084</v>
      </c>
      <c r="BI52" s="69"/>
      <c r="BJ52" s="69">
        <v>109.89866294040471</v>
      </c>
      <c r="BK52" s="69"/>
      <c r="BL52" s="69">
        <v>21.666838682539801</v>
      </c>
      <c r="BM52" s="69"/>
      <c r="BN52" s="69">
        <v>1.2710134695992519</v>
      </c>
      <c r="BP52" s="69">
        <v>213.95140124160324</v>
      </c>
      <c r="BQ52" s="69"/>
      <c r="BR52" s="69">
        <v>34.067171168562965</v>
      </c>
      <c r="BS52" s="69"/>
      <c r="BT52" s="69">
        <v>141.34154083421581</v>
      </c>
      <c r="BV52" s="9">
        <v>8.6777281766659975</v>
      </c>
      <c r="BZ52" s="9">
        <v>8.5588545428067087E-3</v>
      </c>
      <c r="CA52" s="9">
        <v>46.590398769932619</v>
      </c>
      <c r="CB52" s="9">
        <v>8.9582168696377167</v>
      </c>
      <c r="CC52" s="9">
        <v>23.548704898586983</v>
      </c>
      <c r="CD52" s="9">
        <v>3.4541296588125157</v>
      </c>
      <c r="CE52" s="9">
        <v>16.469802845151595</v>
      </c>
      <c r="CF52" s="9">
        <v>5.200082023380185</v>
      </c>
      <c r="CG52" s="9">
        <v>1.8581746607763732</v>
      </c>
      <c r="CH52" s="9">
        <v>6.0536703766277675</v>
      </c>
      <c r="CI52" s="9">
        <v>1.0697559064411022</v>
      </c>
      <c r="CJ52" s="9">
        <v>6.4852468195658908</v>
      </c>
      <c r="CK52" s="9">
        <v>1.3646746127459464</v>
      </c>
      <c r="CL52" s="9">
        <v>3.6565707783285295</v>
      </c>
      <c r="CM52" s="9">
        <v>0.53843058702292335</v>
      </c>
      <c r="CN52" s="9">
        <v>3.3156331816956262</v>
      </c>
      <c r="CO52" s="9">
        <v>0.51571965054586233</v>
      </c>
      <c r="CP52" s="9">
        <v>3.8018844009607506</v>
      </c>
      <c r="CQ52" s="9">
        <v>0.59828957645001413</v>
      </c>
      <c r="CR52" s="9">
        <v>0.9225670007545842</v>
      </c>
      <c r="CS52" s="9">
        <v>0.79010845335401325</v>
      </c>
      <c r="CT52" s="9">
        <v>0.19572715762748397</v>
      </c>
    </row>
    <row r="53" spans="1:98">
      <c r="A53" s="1" t="s">
        <v>271</v>
      </c>
      <c r="B53" s="1" t="s">
        <v>264</v>
      </c>
      <c r="C53" s="1" t="s">
        <v>780</v>
      </c>
      <c r="D53" s="55">
        <v>67.311111111111117</v>
      </c>
      <c r="E53" s="55">
        <v>3.7405555555555554</v>
      </c>
      <c r="I53" s="9">
        <v>160.19999999999999</v>
      </c>
      <c r="J53" s="1" t="s">
        <v>256</v>
      </c>
      <c r="K53" s="1" t="s">
        <v>52</v>
      </c>
      <c r="L53" s="1" t="s">
        <v>864</v>
      </c>
      <c r="M53" s="78" t="s">
        <v>862</v>
      </c>
      <c r="N53" s="78"/>
      <c r="P53" s="1" t="s">
        <v>262</v>
      </c>
      <c r="Q53" s="1" t="s">
        <v>269</v>
      </c>
      <c r="R53" s="4">
        <v>48.04</v>
      </c>
      <c r="S53" s="4">
        <v>1.9870000000000001</v>
      </c>
      <c r="T53" s="4">
        <v>15.3</v>
      </c>
      <c r="U53" s="4">
        <v>13.05</v>
      </c>
      <c r="W53" s="27">
        <v>0.186</v>
      </c>
      <c r="X53" s="4">
        <v>6.71</v>
      </c>
      <c r="Y53" s="4">
        <v>8.8000000000000007</v>
      </c>
      <c r="Z53" s="4">
        <v>2.89</v>
      </c>
      <c r="AA53" s="4">
        <v>0.19</v>
      </c>
      <c r="AB53" s="4">
        <v>0.16800000000000001</v>
      </c>
      <c r="AC53" s="9">
        <v>1.9</v>
      </c>
      <c r="AD53" s="21">
        <f t="shared" si="48"/>
        <v>99.221000000000004</v>
      </c>
      <c r="AE53" s="21">
        <f t="shared" si="49"/>
        <v>11.731950000000001</v>
      </c>
      <c r="AF53" s="23">
        <f t="shared" si="50"/>
        <v>0.50485702084363082</v>
      </c>
      <c r="AH53" s="16">
        <f t="shared" si="51"/>
        <v>49.362419210653407</v>
      </c>
      <c r="AI53" s="16">
        <f t="shared" si="52"/>
        <v>2.0416970643540453</v>
      </c>
      <c r="AJ53" s="16">
        <f t="shared" si="53"/>
        <v>15.721170148272213</v>
      </c>
      <c r="AK53" s="16">
        <f t="shared" si="54"/>
        <v>13.409233361761594</v>
      </c>
      <c r="AL53" s="16">
        <f t="shared" si="55"/>
        <v>0</v>
      </c>
      <c r="AM53" s="16">
        <f t="shared" si="56"/>
        <v>0.19112010768487789</v>
      </c>
      <c r="AN53" s="16">
        <f t="shared" si="57"/>
        <v>6.8947092611050032</v>
      </c>
      <c r="AO53" s="16">
        <f t="shared" si="58"/>
        <v>9.0422416539082029</v>
      </c>
      <c r="AP53" s="16">
        <f t="shared" si="59"/>
        <v>2.969554361340307</v>
      </c>
      <c r="AQ53" s="16">
        <f t="shared" si="60"/>
        <v>0.19523021752756342</v>
      </c>
      <c r="AR53" s="16">
        <f t="shared" si="61"/>
        <v>0.17262461339279295</v>
      </c>
      <c r="AS53" s="16">
        <f t="shared" si="62"/>
        <v>100.00000000000001</v>
      </c>
      <c r="AT53" s="16">
        <f t="shared" si="63"/>
        <v>12.054900792223673</v>
      </c>
      <c r="AV53" s="1" t="s">
        <v>401</v>
      </c>
      <c r="AW53" s="69">
        <v>7.3451905902843109</v>
      </c>
      <c r="AX53" s="69">
        <v>0.50879436663742406</v>
      </c>
      <c r="AY53" s="69">
        <v>42.800931956432912</v>
      </c>
      <c r="AZ53" s="69">
        <v>365.29808184322161</v>
      </c>
      <c r="BA53" s="69"/>
      <c r="BB53" s="69">
        <v>170.70411431258924</v>
      </c>
      <c r="BC53" s="69"/>
      <c r="BD53" s="69">
        <v>49.299691483542368</v>
      </c>
      <c r="BE53" s="69"/>
      <c r="BF53" s="69">
        <v>78.426944850074449</v>
      </c>
      <c r="BG53" s="69"/>
      <c r="BH53" s="69">
        <v>160.13213689785781</v>
      </c>
      <c r="BI53" s="69"/>
      <c r="BJ53" s="69">
        <v>102.93335987038338</v>
      </c>
      <c r="BK53" s="69"/>
      <c r="BL53" s="69">
        <v>21.116001917805157</v>
      </c>
      <c r="BM53" s="69"/>
      <c r="BN53" s="69">
        <v>2.135769114284118</v>
      </c>
      <c r="BP53" s="69">
        <v>192.35097143535543</v>
      </c>
      <c r="BQ53" s="69"/>
      <c r="BR53" s="69">
        <v>28.064096051878131</v>
      </c>
      <c r="BS53" s="69"/>
      <c r="BT53" s="69">
        <v>111.23955243060617</v>
      </c>
      <c r="BV53" s="9">
        <v>6.2978891913871982</v>
      </c>
      <c r="BZ53" s="9">
        <v>4.0556248023631149E-2</v>
      </c>
      <c r="CA53" s="9">
        <v>23.848583627407812</v>
      </c>
      <c r="CB53" s="9">
        <v>6.7231420606085903</v>
      </c>
      <c r="CC53" s="9">
        <v>17.972674082996342</v>
      </c>
      <c r="CD53" s="9">
        <v>2.6870607950204048</v>
      </c>
      <c r="CE53" s="9">
        <v>13.947993462797799</v>
      </c>
      <c r="CF53" s="9">
        <v>4.4017344738341473</v>
      </c>
      <c r="CG53" s="9">
        <v>1.6233437088344265</v>
      </c>
      <c r="CH53" s="9">
        <v>5.458882107542081</v>
      </c>
      <c r="CI53" s="9">
        <v>0.91296354716104422</v>
      </c>
      <c r="CJ53" s="9">
        <v>5.2721951558077906</v>
      </c>
      <c r="CK53" s="9">
        <v>1.1004148233742719</v>
      </c>
      <c r="CL53" s="9">
        <v>3.0515733561563443</v>
      </c>
      <c r="CM53" s="9">
        <v>0.42977170309456214</v>
      </c>
      <c r="CN53" s="9">
        <v>2.4880100404082586</v>
      </c>
      <c r="CO53" s="9">
        <v>0.37492275057658109</v>
      </c>
      <c r="CP53" s="9">
        <v>3.0025578412029486</v>
      </c>
      <c r="CQ53" s="9">
        <v>0.41188488207076696</v>
      </c>
      <c r="CR53" s="9">
        <v>0.56493011897476708</v>
      </c>
      <c r="CS53" s="9">
        <v>0.53146432443337244</v>
      </c>
      <c r="CT53" s="9">
        <v>0.2239577226139825</v>
      </c>
    </row>
    <row r="54" spans="1:98">
      <c r="A54" s="1" t="s">
        <v>271</v>
      </c>
      <c r="B54" s="1" t="s">
        <v>264</v>
      </c>
      <c r="C54" s="1" t="s">
        <v>781</v>
      </c>
      <c r="D54" s="55">
        <v>67.311111111111117</v>
      </c>
      <c r="E54" s="55">
        <v>3.7405555555555554</v>
      </c>
      <c r="I54" s="9">
        <v>170.67</v>
      </c>
      <c r="J54" s="1" t="s">
        <v>256</v>
      </c>
      <c r="K54" s="1" t="s">
        <v>52</v>
      </c>
      <c r="L54" s="1" t="s">
        <v>864</v>
      </c>
      <c r="M54" s="78" t="s">
        <v>862</v>
      </c>
      <c r="N54" s="78"/>
      <c r="P54" s="1" t="s">
        <v>262</v>
      </c>
      <c r="Q54" s="1" t="s">
        <v>269</v>
      </c>
      <c r="R54" s="4">
        <v>48.28</v>
      </c>
      <c r="S54" s="4">
        <v>1.883</v>
      </c>
      <c r="T54" s="4">
        <v>13.75</v>
      </c>
      <c r="U54" s="4">
        <v>13.1</v>
      </c>
      <c r="W54" s="27">
        <v>0.185</v>
      </c>
      <c r="X54" s="4">
        <v>7.41</v>
      </c>
      <c r="Y54" s="4">
        <v>10.36</v>
      </c>
      <c r="Z54" s="4">
        <v>2.77</v>
      </c>
      <c r="AA54" s="4">
        <v>0.18</v>
      </c>
      <c r="AB54" s="4">
        <v>0.14599999999999999</v>
      </c>
      <c r="AC54" s="9">
        <v>1.43</v>
      </c>
      <c r="AD54" s="21">
        <f t="shared" si="48"/>
        <v>99.494000000000014</v>
      </c>
      <c r="AE54" s="21">
        <f t="shared" si="49"/>
        <v>11.776899999999999</v>
      </c>
      <c r="AF54" s="23">
        <f t="shared" si="50"/>
        <v>0.52867751354353443</v>
      </c>
      <c r="AH54" s="16">
        <f t="shared" si="51"/>
        <v>49.233153858704519</v>
      </c>
      <c r="AI54" s="16">
        <f t="shared" si="52"/>
        <v>1.9201745798662098</v>
      </c>
      <c r="AJ54" s="16">
        <f t="shared" si="53"/>
        <v>14.021455376080926</v>
      </c>
      <c r="AK54" s="16">
        <f t="shared" si="54"/>
        <v>13.358622940120737</v>
      </c>
      <c r="AL54" s="16">
        <f t="shared" si="55"/>
        <v>0</v>
      </c>
      <c r="AM54" s="16">
        <f t="shared" si="56"/>
        <v>0.18865230869636154</v>
      </c>
      <c r="AN54" s="16">
        <f t="shared" si="57"/>
        <v>7.5562897699461571</v>
      </c>
      <c r="AO54" s="16">
        <f t="shared" si="58"/>
        <v>10.564529286996246</v>
      </c>
      <c r="AP54" s="16">
        <f t="shared" si="59"/>
        <v>2.8246859193995757</v>
      </c>
      <c r="AQ54" s="16">
        <f t="shared" si="60"/>
        <v>0.18355359765051393</v>
      </c>
      <c r="AR54" s="16">
        <f t="shared" si="61"/>
        <v>0.1488823625387502</v>
      </c>
      <c r="AS54" s="16">
        <f t="shared" si="62"/>
        <v>100.00000000000001</v>
      </c>
      <c r="AT54" s="16">
        <f t="shared" si="63"/>
        <v>12.009402023168542</v>
      </c>
      <c r="AV54" s="1" t="s">
        <v>401</v>
      </c>
      <c r="AW54" s="69">
        <v>5.9017402029935244</v>
      </c>
      <c r="AX54" s="69">
        <v>0.48134408729930267</v>
      </c>
      <c r="AY54" s="69">
        <v>41.553241972124184</v>
      </c>
      <c r="AZ54" s="69">
        <v>373.27166897522909</v>
      </c>
      <c r="BA54" s="69"/>
      <c r="BB54" s="69">
        <v>199.45228914666339</v>
      </c>
      <c r="BC54" s="69"/>
      <c r="BD54" s="69">
        <v>50.093060691173491</v>
      </c>
      <c r="BE54" s="69"/>
      <c r="BF54" s="69">
        <v>92.983515585673217</v>
      </c>
      <c r="BG54" s="69"/>
      <c r="BH54" s="69">
        <v>111.76255428035583</v>
      </c>
      <c r="BI54" s="69"/>
      <c r="BJ54" s="69">
        <v>96.441004547166088</v>
      </c>
      <c r="BK54" s="69"/>
      <c r="BL54" s="69">
        <v>19.428661508777481</v>
      </c>
      <c r="BM54" s="69"/>
      <c r="BN54" s="69">
        <v>1.4290056127794077</v>
      </c>
      <c r="BP54" s="69">
        <v>191.50890932763542</v>
      </c>
      <c r="BQ54" s="69"/>
      <c r="BR54" s="69">
        <v>28.858615994667158</v>
      </c>
      <c r="BS54" s="69"/>
      <c r="BT54" s="69">
        <v>103.84676580778921</v>
      </c>
      <c r="BV54" s="9">
        <v>5.9798209407886977</v>
      </c>
      <c r="BZ54" s="9">
        <v>1.1168423667255937E-2</v>
      </c>
      <c r="CA54" s="9">
        <v>35.416174541940059</v>
      </c>
      <c r="CB54" s="9">
        <v>6.2744827365112972</v>
      </c>
      <c r="CC54" s="9">
        <v>16.65436863273111</v>
      </c>
      <c r="CD54" s="9">
        <v>2.5036859116007522</v>
      </c>
      <c r="CE54" s="9">
        <v>12.341671945023704</v>
      </c>
      <c r="CF54" s="9">
        <v>4.1251959784068637</v>
      </c>
      <c r="CG54" s="9">
        <v>1.5224588305779516</v>
      </c>
      <c r="CH54" s="9">
        <v>5.0173832727474101</v>
      </c>
      <c r="CI54" s="9">
        <v>0.86116794621320791</v>
      </c>
      <c r="CJ54" s="9">
        <v>5.2415244111408352</v>
      </c>
      <c r="CK54" s="9">
        <v>1.0995527295686707</v>
      </c>
      <c r="CL54" s="9">
        <v>2.9873202697061951</v>
      </c>
      <c r="CM54" s="9">
        <v>0.4439437852053213</v>
      </c>
      <c r="CN54" s="9">
        <v>2.6830574028870937</v>
      </c>
      <c r="CO54" s="9">
        <v>0.40566111747201705</v>
      </c>
      <c r="CP54" s="9">
        <v>2.9006570647335681</v>
      </c>
      <c r="CQ54" s="9">
        <v>0.42729425646982055</v>
      </c>
      <c r="CR54" s="9">
        <v>0.60070706534135143</v>
      </c>
      <c r="CS54" s="9">
        <v>0.4976916448019757</v>
      </c>
      <c r="CT54" s="9">
        <v>0.13274869581353577</v>
      </c>
    </row>
    <row r="55" spans="1:98">
      <c r="A55" s="1" t="s">
        <v>271</v>
      </c>
      <c r="B55" s="1" t="s">
        <v>264</v>
      </c>
      <c r="C55" s="1" t="s">
        <v>782</v>
      </c>
      <c r="D55" s="55">
        <v>67.311111111111117</v>
      </c>
      <c r="E55" s="55">
        <v>3.7405555555555554</v>
      </c>
      <c r="I55" s="9">
        <v>179.435</v>
      </c>
      <c r="J55" s="1" t="s">
        <v>256</v>
      </c>
      <c r="K55" s="1" t="s">
        <v>52</v>
      </c>
      <c r="L55" s="1" t="s">
        <v>864</v>
      </c>
      <c r="M55" s="78" t="s">
        <v>862</v>
      </c>
      <c r="N55" s="78"/>
      <c r="P55" s="1" t="s">
        <v>262</v>
      </c>
      <c r="Q55" s="1" t="s">
        <v>269</v>
      </c>
      <c r="R55" s="4">
        <v>47.27</v>
      </c>
      <c r="S55" s="4">
        <v>1.8380000000000001</v>
      </c>
      <c r="T55" s="4">
        <v>14.83</v>
      </c>
      <c r="U55" s="4">
        <v>12.34</v>
      </c>
      <c r="W55" s="27">
        <v>0.161</v>
      </c>
      <c r="X55" s="4">
        <v>6.63</v>
      </c>
      <c r="Y55" s="4">
        <v>9.6199999999999992</v>
      </c>
      <c r="Z55" s="4">
        <v>2.64</v>
      </c>
      <c r="AA55" s="4">
        <v>0.17</v>
      </c>
      <c r="AB55" s="4">
        <v>0.124</v>
      </c>
      <c r="AC55" s="9">
        <v>2.65</v>
      </c>
      <c r="AD55" s="21">
        <f t="shared" si="48"/>
        <v>98.27300000000001</v>
      </c>
      <c r="AE55" s="21">
        <f t="shared" si="49"/>
        <v>11.09366</v>
      </c>
      <c r="AF55" s="23">
        <f t="shared" si="50"/>
        <v>0.51583886457345407</v>
      </c>
      <c r="AH55" s="16">
        <f t="shared" si="51"/>
        <v>49.433713646298479</v>
      </c>
      <c r="AI55" s="16">
        <f t="shared" si="52"/>
        <v>1.9221317047153927</v>
      </c>
      <c r="AJ55" s="16">
        <f t="shared" si="53"/>
        <v>15.508821099526264</v>
      </c>
      <c r="AK55" s="16">
        <f t="shared" si="54"/>
        <v>12.90484506865503</v>
      </c>
      <c r="AL55" s="16">
        <f t="shared" si="55"/>
        <v>0</v>
      </c>
      <c r="AM55" s="16">
        <f t="shared" si="56"/>
        <v>0.16836953452621231</v>
      </c>
      <c r="AN55" s="16">
        <f t="shared" si="57"/>
        <v>6.93347834725955</v>
      </c>
      <c r="AO55" s="16">
        <f t="shared" si="58"/>
        <v>10.060341131317777</v>
      </c>
      <c r="AP55" s="16">
        <f t="shared" si="59"/>
        <v>2.7608420568273324</v>
      </c>
      <c r="AQ55" s="16">
        <f t="shared" si="60"/>
        <v>0.17778149608357821</v>
      </c>
      <c r="AR55" s="16">
        <f t="shared" si="61"/>
        <v>0.12967591479037469</v>
      </c>
      <c r="AS55" s="16">
        <f t="shared" si="62"/>
        <v>99.999999999999972</v>
      </c>
      <c r="AT55" s="16">
        <f t="shared" si="63"/>
        <v>11.601455716720873</v>
      </c>
      <c r="AV55" s="1" t="s">
        <v>401</v>
      </c>
      <c r="AW55" s="69">
        <v>6.6104929998005177</v>
      </c>
      <c r="AX55" s="69">
        <v>0.52766189021976095</v>
      </c>
      <c r="AY55" s="69">
        <v>38.713312920696907</v>
      </c>
      <c r="AZ55" s="69">
        <v>362.53660787723049</v>
      </c>
      <c r="BA55" s="69"/>
      <c r="BB55" s="69">
        <v>145.28147765023206</v>
      </c>
      <c r="BC55" s="69"/>
      <c r="BD55" s="69">
        <v>47.886700351487505</v>
      </c>
      <c r="BE55" s="69"/>
      <c r="BF55" s="69">
        <v>74.821685060312191</v>
      </c>
      <c r="BG55" s="69"/>
      <c r="BH55" s="69">
        <v>122.54299993322947</v>
      </c>
      <c r="BI55" s="69"/>
      <c r="BJ55" s="69">
        <v>98.048951550946725</v>
      </c>
      <c r="BK55" s="69"/>
      <c r="BL55" s="69">
        <v>20.387924646962862</v>
      </c>
      <c r="BM55" s="69"/>
      <c r="BN55" s="69">
        <v>1.8079943449650644</v>
      </c>
      <c r="BP55" s="69">
        <v>206.48069694584876</v>
      </c>
      <c r="BQ55" s="69"/>
      <c r="BR55" s="69">
        <v>25.781447950386791</v>
      </c>
      <c r="BS55" s="69"/>
      <c r="BT55" s="69">
        <v>101.32479398842874</v>
      </c>
      <c r="BV55" s="9">
        <v>5.853030231433042</v>
      </c>
      <c r="BZ55" s="9">
        <v>1.2009569217261639E-2</v>
      </c>
      <c r="CA55" s="9">
        <v>34.814520132183972</v>
      </c>
      <c r="CB55" s="9">
        <v>6.056146567359372</v>
      </c>
      <c r="CC55" s="9">
        <v>16.063638408021312</v>
      </c>
      <c r="CD55" s="9">
        <v>2.4299580186359426</v>
      </c>
      <c r="CE55" s="9">
        <v>11.773456581257728</v>
      </c>
      <c r="CF55" s="9">
        <v>3.9115333162836063</v>
      </c>
      <c r="CG55" s="9">
        <v>1.515698658259595</v>
      </c>
      <c r="CH55" s="9">
        <v>4.808626317918721</v>
      </c>
      <c r="CI55" s="9">
        <v>0.83570667495803919</v>
      </c>
      <c r="CJ55" s="9">
        <v>5.0254043161004365</v>
      </c>
      <c r="CK55" s="9">
        <v>1.0574332211955031</v>
      </c>
      <c r="CL55" s="9">
        <v>2.8728053564697618</v>
      </c>
      <c r="CM55" s="9">
        <v>0.42990675949784868</v>
      </c>
      <c r="CN55" s="9">
        <v>2.6366792868279521</v>
      </c>
      <c r="CO55" s="9">
        <v>0.40345469153767965</v>
      </c>
      <c r="CP55" s="9">
        <v>2.8479023231670872</v>
      </c>
      <c r="CQ55" s="9">
        <v>0.41100145958881573</v>
      </c>
      <c r="CR55" s="9">
        <v>0.57954260715798356</v>
      </c>
      <c r="CS55" s="9">
        <v>0.48430982675347589</v>
      </c>
      <c r="CT55" s="9">
        <v>0.12309874828378366</v>
      </c>
    </row>
    <row r="56" spans="1:98">
      <c r="A56" s="1" t="s">
        <v>271</v>
      </c>
      <c r="B56" s="1" t="s">
        <v>264</v>
      </c>
      <c r="C56" s="1" t="s">
        <v>783</v>
      </c>
      <c r="D56" s="55">
        <v>67.311111111111117</v>
      </c>
      <c r="E56" s="55">
        <v>3.7405555555555554</v>
      </c>
      <c r="I56" s="9">
        <v>194.7</v>
      </c>
      <c r="J56" s="1" t="s">
        <v>256</v>
      </c>
      <c r="K56" s="1" t="s">
        <v>52</v>
      </c>
      <c r="L56" s="1" t="s">
        <v>864</v>
      </c>
      <c r="M56" s="78" t="s">
        <v>862</v>
      </c>
      <c r="N56" s="78"/>
      <c r="P56" s="1" t="s">
        <v>262</v>
      </c>
      <c r="Q56" s="1" t="s">
        <v>269</v>
      </c>
      <c r="R56" s="4">
        <v>48.74</v>
      </c>
      <c r="S56" s="4">
        <v>1.9650000000000001</v>
      </c>
      <c r="T56" s="4">
        <v>15.51</v>
      </c>
      <c r="U56" s="4">
        <v>12.07</v>
      </c>
      <c r="W56" s="27">
        <v>0.128</v>
      </c>
      <c r="X56" s="4">
        <v>6.32</v>
      </c>
      <c r="Y56" s="4">
        <v>9.8699999999999992</v>
      </c>
      <c r="Z56" s="4">
        <v>2.77</v>
      </c>
      <c r="AA56" s="4">
        <v>0.27</v>
      </c>
      <c r="AB56" s="4">
        <v>0.152</v>
      </c>
      <c r="AC56" s="9">
        <v>1.3</v>
      </c>
      <c r="AD56" s="21">
        <f t="shared" si="48"/>
        <v>99.094999999999999</v>
      </c>
      <c r="AE56" s="21">
        <f t="shared" si="49"/>
        <v>10.85093</v>
      </c>
      <c r="AF56" s="23">
        <f t="shared" si="50"/>
        <v>0.50940240405415649</v>
      </c>
      <c r="AH56" s="16">
        <f t="shared" si="51"/>
        <v>49.838948821514393</v>
      </c>
      <c r="AI56" s="16">
        <f t="shared" si="52"/>
        <v>2.0093051792013905</v>
      </c>
      <c r="AJ56" s="16">
        <f t="shared" si="53"/>
        <v>15.859706528963649</v>
      </c>
      <c r="AK56" s="16">
        <f t="shared" si="54"/>
        <v>12.34214428140498</v>
      </c>
      <c r="AL56" s="16">
        <f t="shared" si="55"/>
        <v>0</v>
      </c>
      <c r="AM56" s="16">
        <f t="shared" si="56"/>
        <v>0.13088603711846208</v>
      </c>
      <c r="AN56" s="16">
        <f t="shared" si="57"/>
        <v>6.4624980827240659</v>
      </c>
      <c r="AO56" s="16">
        <f t="shared" si="58"/>
        <v>10.092540518431411</v>
      </c>
      <c r="AP56" s="16">
        <f t="shared" si="59"/>
        <v>2.8324556470167188</v>
      </c>
      <c r="AQ56" s="16">
        <f t="shared" si="60"/>
        <v>0.27608773454675595</v>
      </c>
      <c r="AR56" s="16">
        <f t="shared" si="61"/>
        <v>0.15542716907817372</v>
      </c>
      <c r="AS56" s="16">
        <f t="shared" si="62"/>
        <v>100</v>
      </c>
      <c r="AT56" s="16">
        <f t="shared" si="63"/>
        <v>11.095587708983079</v>
      </c>
      <c r="AV56" s="1" t="s">
        <v>401</v>
      </c>
      <c r="AW56" s="69">
        <v>6.0217876732509215</v>
      </c>
      <c r="AX56" s="69">
        <v>0.68613959401565017</v>
      </c>
      <c r="AY56" s="69">
        <v>39.356569762649123</v>
      </c>
      <c r="AZ56" s="69">
        <v>342.28218449143503</v>
      </c>
      <c r="BA56" s="69"/>
      <c r="BB56" s="69">
        <v>206.38480061365689</v>
      </c>
      <c r="BC56" s="69"/>
      <c r="BD56" s="69">
        <v>43.91676626703569</v>
      </c>
      <c r="BE56" s="69"/>
      <c r="BF56" s="69">
        <v>73.453070071922923</v>
      </c>
      <c r="BG56" s="69"/>
      <c r="BH56" s="69">
        <v>122.34132470960498</v>
      </c>
      <c r="BI56" s="69"/>
      <c r="BJ56" s="69">
        <v>89.267892402199081</v>
      </c>
      <c r="BK56" s="69"/>
      <c r="BL56" s="69">
        <v>21.473516061217563</v>
      </c>
      <c r="BM56" s="69"/>
      <c r="BN56" s="69">
        <v>3.5269140161457186</v>
      </c>
      <c r="BP56" s="69">
        <v>206.18040820271591</v>
      </c>
      <c r="BQ56" s="69"/>
      <c r="BR56" s="69">
        <v>27.245984532969203</v>
      </c>
      <c r="BS56" s="69"/>
      <c r="BT56" s="69">
        <v>115.85579490472632</v>
      </c>
      <c r="BV56" s="9">
        <v>6.3469536847169206</v>
      </c>
      <c r="BZ56" s="9">
        <v>7.0203636015172807E-2</v>
      </c>
      <c r="CA56" s="9">
        <v>52.337677504206596</v>
      </c>
      <c r="CB56" s="9">
        <v>6.2155984945766081</v>
      </c>
      <c r="CC56" s="9">
        <v>16.575298789341097</v>
      </c>
      <c r="CD56" s="9">
        <v>2.5717854982599189</v>
      </c>
      <c r="CE56" s="9">
        <v>12.730325702194413</v>
      </c>
      <c r="CF56" s="9">
        <v>4.2276875412644133</v>
      </c>
      <c r="CG56" s="9">
        <v>1.5943613019908323</v>
      </c>
      <c r="CH56" s="9">
        <v>4.9756725897710092</v>
      </c>
      <c r="CI56" s="9">
        <v>0.87223127432829695</v>
      </c>
      <c r="CJ56" s="9">
        <v>5.2688347443773971</v>
      </c>
      <c r="CK56" s="9">
        <v>1.0694189558010878</v>
      </c>
      <c r="CL56" s="9">
        <v>2.9032364033853262</v>
      </c>
      <c r="CM56" s="9">
        <v>0.4285752189544072</v>
      </c>
      <c r="CN56" s="9">
        <v>2.657162115682103</v>
      </c>
      <c r="CO56" s="9">
        <v>0.39742933805462044</v>
      </c>
      <c r="CP56" s="9">
        <v>3.1226581646789131</v>
      </c>
      <c r="CQ56" s="9">
        <v>0.44197241700222228</v>
      </c>
      <c r="CR56" s="9">
        <v>0.65450637544235435</v>
      </c>
      <c r="CS56" s="9">
        <v>0.55522065061840165</v>
      </c>
      <c r="CT56" s="9">
        <v>0.16133800985303265</v>
      </c>
    </row>
    <row r="57" spans="1:98">
      <c r="A57" s="1" t="s">
        <v>271</v>
      </c>
      <c r="B57" s="1" t="s">
        <v>264</v>
      </c>
      <c r="C57" s="1" t="s">
        <v>784</v>
      </c>
      <c r="D57" s="55">
        <v>67.311111111111117</v>
      </c>
      <c r="E57" s="55">
        <v>3.7405555555555554</v>
      </c>
      <c r="I57" s="9">
        <v>205.535</v>
      </c>
      <c r="J57" s="1" t="s">
        <v>256</v>
      </c>
      <c r="K57" s="1" t="s">
        <v>52</v>
      </c>
      <c r="L57" s="1" t="s">
        <v>864</v>
      </c>
      <c r="M57" s="78" t="s">
        <v>862</v>
      </c>
      <c r="N57" s="78"/>
      <c r="P57" s="1" t="s">
        <v>262</v>
      </c>
      <c r="Q57" s="1" t="s">
        <v>269</v>
      </c>
      <c r="R57" s="4">
        <v>47.97</v>
      </c>
      <c r="S57" s="4">
        <v>2.496</v>
      </c>
      <c r="T57" s="4">
        <v>12.85</v>
      </c>
      <c r="U57" s="4">
        <v>15.55</v>
      </c>
      <c r="W57" s="27">
        <v>0.21099999999999999</v>
      </c>
      <c r="X57" s="4">
        <v>7.14</v>
      </c>
      <c r="Y57" s="4">
        <v>10.08</v>
      </c>
      <c r="Z57" s="4">
        <v>2.8</v>
      </c>
      <c r="AA57" s="4">
        <v>0.15</v>
      </c>
      <c r="AB57" s="4">
        <v>0.20300000000000001</v>
      </c>
      <c r="AC57" s="9">
        <v>0.69</v>
      </c>
      <c r="AD57" s="21">
        <f t="shared" si="48"/>
        <v>100.14</v>
      </c>
      <c r="AE57" s="21">
        <f t="shared" si="49"/>
        <v>13.979450000000002</v>
      </c>
      <c r="AF57" s="23">
        <f t="shared" si="50"/>
        <v>0.47658464384136129</v>
      </c>
      <c r="AH57" s="16">
        <f t="shared" si="51"/>
        <v>48.235294117647058</v>
      </c>
      <c r="AI57" s="16">
        <f t="shared" si="52"/>
        <v>2.5098039215686274</v>
      </c>
      <c r="AJ57" s="16">
        <f t="shared" si="53"/>
        <v>12.921065862242333</v>
      </c>
      <c r="AK57" s="16">
        <f t="shared" si="54"/>
        <v>15.635997988939165</v>
      </c>
      <c r="AL57" s="16">
        <f t="shared" si="55"/>
        <v>0</v>
      </c>
      <c r="AM57" s="16">
        <f t="shared" si="56"/>
        <v>0.21216691804927096</v>
      </c>
      <c r="AN57" s="16">
        <f t="shared" si="57"/>
        <v>7.1794871794871788</v>
      </c>
      <c r="AO57" s="16">
        <f t="shared" si="58"/>
        <v>10.135746606334841</v>
      </c>
      <c r="AP57" s="16">
        <f t="shared" si="59"/>
        <v>2.8154851684263447</v>
      </c>
      <c r="AQ57" s="16">
        <f t="shared" si="60"/>
        <v>0.15082956259426847</v>
      </c>
      <c r="AR57" s="16">
        <f t="shared" si="61"/>
        <v>0.20412267471091</v>
      </c>
      <c r="AS57" s="16">
        <f t="shared" si="62"/>
        <v>100.00000000000001</v>
      </c>
      <c r="AT57" s="16">
        <f t="shared" si="63"/>
        <v>14.05676219205631</v>
      </c>
      <c r="AV57" s="1" t="s">
        <v>401</v>
      </c>
      <c r="AW57" s="69">
        <v>5.7025669933391585</v>
      </c>
      <c r="AX57" s="69">
        <v>0.53465605862301102</v>
      </c>
      <c r="AY57" s="69">
        <v>43.901868094899463</v>
      </c>
      <c r="AZ57" s="69">
        <v>421.44149409763202</v>
      </c>
      <c r="BA57" s="69"/>
      <c r="BB57" s="69">
        <v>103.98291943448035</v>
      </c>
      <c r="BC57" s="69"/>
      <c r="BD57" s="69">
        <v>52.740549060016221</v>
      </c>
      <c r="BE57" s="69"/>
      <c r="BF57" s="69">
        <v>64.081705839297712</v>
      </c>
      <c r="BG57" s="69"/>
      <c r="BH57" s="69">
        <v>148.665132187545</v>
      </c>
      <c r="BI57" s="69"/>
      <c r="BJ57" s="69">
        <v>114.53091114272466</v>
      </c>
      <c r="BK57" s="69"/>
      <c r="BL57" s="69">
        <v>20.975110166434245</v>
      </c>
      <c r="BM57" s="69"/>
      <c r="BN57" s="69">
        <v>0.76640866805790731</v>
      </c>
      <c r="BP57" s="69">
        <v>194.71340422635552</v>
      </c>
      <c r="BQ57" s="69"/>
      <c r="BR57" s="69">
        <v>36.673820731251688</v>
      </c>
      <c r="BS57" s="69"/>
      <c r="BT57" s="69">
        <v>144.15649651661738</v>
      </c>
      <c r="BV57" s="9">
        <v>8.0540495066424072</v>
      </c>
      <c r="BZ57" s="9">
        <v>9.5466414707097592E-3</v>
      </c>
      <c r="CA57" s="9">
        <v>32.644898047723771</v>
      </c>
      <c r="CB57" s="9">
        <v>7.9362638061076352</v>
      </c>
      <c r="CC57" s="9">
        <v>22.092186788673043</v>
      </c>
      <c r="CD57" s="9">
        <v>3.2634342064051749</v>
      </c>
      <c r="CE57" s="9">
        <v>16.189556070354666</v>
      </c>
      <c r="CF57" s="9">
        <v>5.4372963385054485</v>
      </c>
      <c r="CG57" s="9">
        <v>1.9301758391652666</v>
      </c>
      <c r="CH57" s="9">
        <v>6.4542922310665167</v>
      </c>
      <c r="CI57" s="9">
        <v>1.1108265739626253</v>
      </c>
      <c r="CJ57" s="9">
        <v>6.7446450807385299</v>
      </c>
      <c r="CK57" s="9">
        <v>1.4205278878347904</v>
      </c>
      <c r="CL57" s="9">
        <v>3.8056822645244734</v>
      </c>
      <c r="CM57" s="9">
        <v>0.55847250583774422</v>
      </c>
      <c r="CN57" s="9">
        <v>3.368751726411205</v>
      </c>
      <c r="CO57" s="9">
        <v>0.50720797711968535</v>
      </c>
      <c r="CP57" s="9">
        <v>3.8613460659699088</v>
      </c>
      <c r="CQ57" s="9">
        <v>0.56903244266756248</v>
      </c>
      <c r="CR57" s="9">
        <v>0.7798375990630374</v>
      </c>
      <c r="CS57" s="9">
        <v>0.66849231620960492</v>
      </c>
      <c r="CT57" s="9">
        <v>0.21896280542470825</v>
      </c>
    </row>
    <row r="58" spans="1:98">
      <c r="A58" s="1" t="s">
        <v>271</v>
      </c>
      <c r="B58" s="1" t="s">
        <v>264</v>
      </c>
      <c r="C58" s="1" t="s">
        <v>785</v>
      </c>
      <c r="D58" s="55">
        <v>67.311111111111103</v>
      </c>
      <c r="E58" s="55">
        <v>3.7405555555555599</v>
      </c>
      <c r="I58" s="9">
        <v>211.11</v>
      </c>
      <c r="J58" s="1" t="s">
        <v>256</v>
      </c>
      <c r="K58" s="1" t="s">
        <v>52</v>
      </c>
      <c r="L58" s="1" t="s">
        <v>864</v>
      </c>
      <c r="M58" s="78" t="s">
        <v>862</v>
      </c>
      <c r="N58" s="78"/>
      <c r="P58" s="1" t="s">
        <v>262</v>
      </c>
      <c r="Q58" s="1" t="s">
        <v>269</v>
      </c>
      <c r="R58" s="4">
        <v>47.44</v>
      </c>
      <c r="S58" s="4">
        <v>2.726</v>
      </c>
      <c r="T58" s="4">
        <v>13.63</v>
      </c>
      <c r="U58" s="4">
        <v>15.44</v>
      </c>
      <c r="W58" s="27">
        <v>0.19600000000000001</v>
      </c>
      <c r="X58" s="4">
        <v>6.83</v>
      </c>
      <c r="Y58" s="4">
        <v>8.69</v>
      </c>
      <c r="Z58" s="4">
        <v>2.83</v>
      </c>
      <c r="AA58" s="4">
        <v>0.28999999999999998</v>
      </c>
      <c r="AB58" s="4">
        <v>0.32500000000000001</v>
      </c>
      <c r="AC58" s="9">
        <v>1.62</v>
      </c>
      <c r="AD58" s="21">
        <f t="shared" si="48"/>
        <v>100.01700000000001</v>
      </c>
      <c r="AE58" s="21">
        <f t="shared" si="49"/>
        <v>13.880559999999999</v>
      </c>
      <c r="AF58" s="23">
        <f t="shared" si="50"/>
        <v>0.46729202688011839</v>
      </c>
      <c r="AH58" s="16">
        <f t="shared" si="51"/>
        <v>48.212852017846068</v>
      </c>
      <c r="AI58" s="16">
        <f t="shared" si="52"/>
        <v>2.7704096669613913</v>
      </c>
      <c r="AJ58" s="16">
        <f t="shared" si="53"/>
        <v>13.852048334806955</v>
      </c>
      <c r="AK58" s="16">
        <f t="shared" si="54"/>
        <v>15.691535311035905</v>
      </c>
      <c r="AL58" s="16">
        <f t="shared" si="55"/>
        <v>0</v>
      </c>
      <c r="AM58" s="16">
        <f t="shared" si="56"/>
        <v>0.19919306482921229</v>
      </c>
      <c r="AN58" s="16">
        <f t="shared" si="57"/>
        <v>6.9412685346097946</v>
      </c>
      <c r="AO58" s="16">
        <f t="shared" si="58"/>
        <v>8.8315700681931357</v>
      </c>
      <c r="AP58" s="16">
        <f t="shared" si="59"/>
        <v>2.8761039462585241</v>
      </c>
      <c r="AQ58" s="16">
        <f t="shared" si="60"/>
        <v>0.29472443265546711</v>
      </c>
      <c r="AR58" s="16">
        <f t="shared" si="61"/>
        <v>0.33029462280354072</v>
      </c>
      <c r="AS58" s="16">
        <f t="shared" si="62"/>
        <v>99.999999999999986</v>
      </c>
      <c r="AT58" s="16">
        <f t="shared" si="63"/>
        <v>14.106690244621278</v>
      </c>
      <c r="AV58" s="1" t="s">
        <v>401</v>
      </c>
      <c r="AW58" s="69">
        <v>7.4789234877422812</v>
      </c>
      <c r="AX58" s="69">
        <v>0.70087061342888413</v>
      </c>
      <c r="AY58" s="69">
        <v>44.946503853204909</v>
      </c>
      <c r="AZ58" s="69">
        <v>462.78671916605117</v>
      </c>
      <c r="BA58" s="69"/>
      <c r="BB58" s="69">
        <v>226.53785852132268</v>
      </c>
      <c r="BC58" s="69"/>
      <c r="BD58" s="69">
        <v>56.578683452100229</v>
      </c>
      <c r="BE58" s="69"/>
      <c r="BF58" s="69">
        <v>68.099414637767097</v>
      </c>
      <c r="BG58" s="69"/>
      <c r="BH58" s="69">
        <v>55.899410860861067</v>
      </c>
      <c r="BI58" s="69"/>
      <c r="BJ58" s="69">
        <v>151.64942179925322</v>
      </c>
      <c r="BK58" s="69"/>
      <c r="BL58" s="69">
        <v>22.408910227835054</v>
      </c>
      <c r="BM58" s="69"/>
      <c r="BN58" s="69">
        <v>5.6221810191528814</v>
      </c>
      <c r="BP58" s="69">
        <v>185.32669504972253</v>
      </c>
      <c r="BQ58" s="69"/>
      <c r="BR58" s="69">
        <v>43.667855404049817</v>
      </c>
      <c r="BS58" s="69"/>
      <c r="BT58" s="69">
        <v>173.49873727336217</v>
      </c>
      <c r="BV58" s="9">
        <v>9.748920969852751</v>
      </c>
      <c r="BZ58" s="9">
        <v>0.13024849202324279</v>
      </c>
      <c r="CA58" s="9">
        <v>35.769846345578415</v>
      </c>
      <c r="CB58" s="9">
        <v>10.499364710996703</v>
      </c>
      <c r="CC58" s="9">
        <v>28.112826749934008</v>
      </c>
      <c r="CD58" s="9">
        <v>4.0120819122722224</v>
      </c>
      <c r="CE58" s="9">
        <v>19.456098989342795</v>
      </c>
      <c r="CF58" s="9">
        <v>6.3310659195333914</v>
      </c>
      <c r="CG58" s="9">
        <v>2.1393274715511064</v>
      </c>
      <c r="CH58" s="9">
        <v>7.4901342921047247</v>
      </c>
      <c r="CI58" s="9">
        <v>1.2874591595424514</v>
      </c>
      <c r="CJ58" s="9">
        <v>7.821454201483097</v>
      </c>
      <c r="CK58" s="9">
        <v>1.6234444147505231</v>
      </c>
      <c r="CL58" s="9">
        <v>4.4864729509844148</v>
      </c>
      <c r="CM58" s="9">
        <v>0.65707587354908847</v>
      </c>
      <c r="CN58" s="9">
        <v>3.9539512461531738</v>
      </c>
      <c r="CO58" s="9">
        <v>0.61498654336742209</v>
      </c>
      <c r="CP58" s="9">
        <v>4.6430978187804133</v>
      </c>
      <c r="CQ58" s="9">
        <v>0.67965736532598076</v>
      </c>
      <c r="CR58" s="9">
        <v>1.0542635745156941</v>
      </c>
      <c r="CS58" s="9">
        <v>0.89871270632613109</v>
      </c>
      <c r="CT58" s="9">
        <v>0.28797155161770649</v>
      </c>
    </row>
    <row r="59" spans="1:98">
      <c r="A59" s="1" t="s">
        <v>271</v>
      </c>
      <c r="B59" s="1" t="s">
        <v>264</v>
      </c>
      <c r="C59" s="1" t="s">
        <v>786</v>
      </c>
      <c r="D59" s="55">
        <v>67.311111111111103</v>
      </c>
      <c r="E59" s="55">
        <v>3.7405555555555599</v>
      </c>
      <c r="I59" s="9">
        <v>214.13499999999999</v>
      </c>
      <c r="J59" s="1" t="s">
        <v>256</v>
      </c>
      <c r="K59" s="1" t="s">
        <v>52</v>
      </c>
      <c r="L59" s="1" t="s">
        <v>864</v>
      </c>
      <c r="M59" s="78" t="s">
        <v>862</v>
      </c>
      <c r="N59" s="78"/>
      <c r="P59" s="1" t="s">
        <v>262</v>
      </c>
      <c r="Q59" s="1" t="s">
        <v>269</v>
      </c>
      <c r="R59" s="4">
        <v>47.18</v>
      </c>
      <c r="S59" s="4">
        <v>2.4500000000000002</v>
      </c>
      <c r="T59" s="4">
        <v>12.77</v>
      </c>
      <c r="U59" s="4">
        <v>15.2</v>
      </c>
      <c r="W59" s="27">
        <v>0.19500000000000001</v>
      </c>
      <c r="X59" s="4">
        <v>7.36</v>
      </c>
      <c r="Y59" s="4">
        <v>9.7100000000000009</v>
      </c>
      <c r="Z59" s="4">
        <v>2.78</v>
      </c>
      <c r="AA59" s="4">
        <v>0.18</v>
      </c>
      <c r="AB59" s="4">
        <v>0.251</v>
      </c>
      <c r="AC59" s="9">
        <v>2.21</v>
      </c>
      <c r="AD59" s="21">
        <f t="shared" si="48"/>
        <v>100.28600000000002</v>
      </c>
      <c r="AE59" s="21">
        <f t="shared" si="49"/>
        <v>13.6648</v>
      </c>
      <c r="AF59" s="23">
        <f t="shared" si="50"/>
        <v>0.4898469913677842</v>
      </c>
      <c r="AH59" s="16">
        <f t="shared" si="51"/>
        <v>48.105550797340825</v>
      </c>
      <c r="AI59" s="16">
        <f t="shared" si="52"/>
        <v>2.4980627268648798</v>
      </c>
      <c r="AJ59" s="16">
        <f t="shared" si="53"/>
        <v>13.020514702883474</v>
      </c>
      <c r="AK59" s="16">
        <f t="shared" si="54"/>
        <v>15.49818508095762</v>
      </c>
      <c r="AL59" s="16">
        <f t="shared" si="55"/>
        <v>0</v>
      </c>
      <c r="AM59" s="16">
        <f t="shared" si="56"/>
        <v>0.19882540070965368</v>
      </c>
      <c r="AN59" s="16">
        <f t="shared" si="57"/>
        <v>7.5043843549900062</v>
      </c>
      <c r="AO59" s="16">
        <f t="shared" si="58"/>
        <v>9.9004853379012179</v>
      </c>
      <c r="AP59" s="16">
        <f t="shared" si="59"/>
        <v>2.8345364819119858</v>
      </c>
      <c r="AQ59" s="16">
        <f t="shared" si="60"/>
        <v>0.1835311391166034</v>
      </c>
      <c r="AR59" s="16">
        <f t="shared" si="61"/>
        <v>0.25592397732370809</v>
      </c>
      <c r="AS59" s="16">
        <f t="shared" si="62"/>
        <v>99.999999999999972</v>
      </c>
      <c r="AT59" s="16">
        <f t="shared" si="63"/>
        <v>13.932868387780902</v>
      </c>
      <c r="AV59" s="1" t="s">
        <v>401</v>
      </c>
      <c r="AW59" s="69">
        <v>5.5317796558974086</v>
      </c>
      <c r="AX59" s="69">
        <v>0.54755500123540635</v>
      </c>
      <c r="AY59" s="69">
        <v>40.362375278261609</v>
      </c>
      <c r="AZ59" s="69">
        <v>422.02808602398267</v>
      </c>
      <c r="BA59" s="69"/>
      <c r="BB59" s="69">
        <v>201.27366198455871</v>
      </c>
      <c r="BC59" s="69"/>
      <c r="BD59" s="69">
        <v>53.876512121676015</v>
      </c>
      <c r="BE59" s="69"/>
      <c r="BF59" s="69">
        <v>71.15395592217449</v>
      </c>
      <c r="BG59" s="69"/>
      <c r="BH59" s="69">
        <v>51.860902728270155</v>
      </c>
      <c r="BI59" s="69"/>
      <c r="BJ59" s="69">
        <v>111.84243402268316</v>
      </c>
      <c r="BK59" s="69"/>
      <c r="BL59" s="69">
        <v>20.380584423523313</v>
      </c>
      <c r="BM59" s="69"/>
      <c r="BN59" s="69">
        <v>0.91440498020484928</v>
      </c>
      <c r="BP59" s="69">
        <v>183.94356736556225</v>
      </c>
      <c r="BQ59" s="69"/>
      <c r="BR59" s="69">
        <v>39.489922189622966</v>
      </c>
      <c r="BS59" s="69"/>
      <c r="BT59" s="69">
        <v>157.06073219103712</v>
      </c>
      <c r="BV59" s="9">
        <v>8.7428943934644128</v>
      </c>
      <c r="BZ59" s="9">
        <v>9.4117146194727299E-3</v>
      </c>
      <c r="CA59" s="9">
        <v>34.316126889518188</v>
      </c>
      <c r="CB59" s="9">
        <v>9.3431968580999492</v>
      </c>
      <c r="CC59" s="9">
        <v>25.047635386109075</v>
      </c>
      <c r="CD59" s="9">
        <v>3.6561063553200124</v>
      </c>
      <c r="CE59" s="9">
        <v>17.562317361312992</v>
      </c>
      <c r="CF59" s="9">
        <v>5.6820851270344761</v>
      </c>
      <c r="CG59" s="9">
        <v>1.9493541662176022</v>
      </c>
      <c r="CH59" s="9">
        <v>6.8036712501860821</v>
      </c>
      <c r="CI59" s="9">
        <v>1.1782184790648171</v>
      </c>
      <c r="CJ59" s="9">
        <v>7.1267612695005438</v>
      </c>
      <c r="CK59" s="9">
        <v>1.4916598013597422</v>
      </c>
      <c r="CL59" s="9">
        <v>4.0899765825099585</v>
      </c>
      <c r="CM59" s="9">
        <v>0.60274143110184997</v>
      </c>
      <c r="CN59" s="9">
        <v>3.6567835990240125</v>
      </c>
      <c r="CO59" s="9">
        <v>0.55004537768997419</v>
      </c>
      <c r="CP59" s="9">
        <v>4.150169377983592</v>
      </c>
      <c r="CQ59" s="9">
        <v>0.61291734600533365</v>
      </c>
      <c r="CR59" s="9">
        <v>0.86549354734226758</v>
      </c>
      <c r="CS59" s="9">
        <v>0.79881651696784106</v>
      </c>
      <c r="CT59" s="9">
        <v>0.23674868470788846</v>
      </c>
    </row>
    <row r="60" spans="1:98">
      <c r="A60" s="1" t="s">
        <v>271</v>
      </c>
      <c r="B60" s="1" t="s">
        <v>264</v>
      </c>
      <c r="C60" s="1" t="s">
        <v>787</v>
      </c>
      <c r="D60" s="55">
        <v>67.311111111111103</v>
      </c>
      <c r="E60" s="55">
        <v>3.7405555555555599</v>
      </c>
      <c r="I60" s="9">
        <v>225.99</v>
      </c>
      <c r="J60" s="1" t="s">
        <v>256</v>
      </c>
      <c r="K60" s="1" t="s">
        <v>52</v>
      </c>
      <c r="L60" s="1" t="s">
        <v>864</v>
      </c>
      <c r="M60" s="78" t="s">
        <v>862</v>
      </c>
      <c r="N60" s="78"/>
      <c r="P60" s="1" t="s">
        <v>262</v>
      </c>
      <c r="Q60" s="1" t="s">
        <v>269</v>
      </c>
      <c r="R60" s="4">
        <v>47.19</v>
      </c>
      <c r="S60" s="4">
        <v>2.33</v>
      </c>
      <c r="T60" s="4">
        <v>14.7</v>
      </c>
      <c r="U60" s="4">
        <v>14.98</v>
      </c>
      <c r="W60" s="27">
        <v>0.14099999999999999</v>
      </c>
      <c r="X60" s="4">
        <v>6.45</v>
      </c>
      <c r="Y60" s="4">
        <v>9.24</v>
      </c>
      <c r="Z60" s="4">
        <v>2.92</v>
      </c>
      <c r="AA60" s="4">
        <v>0.22</v>
      </c>
      <c r="AB60" s="4">
        <v>0.23100000000000001</v>
      </c>
      <c r="AC60" s="9">
        <v>1.5</v>
      </c>
      <c r="AD60" s="21">
        <f t="shared" si="48"/>
        <v>99.902000000000001</v>
      </c>
      <c r="AE60" s="21">
        <f t="shared" si="49"/>
        <v>13.467020000000002</v>
      </c>
      <c r="AF60" s="23">
        <f t="shared" si="50"/>
        <v>0.4605775039729913</v>
      </c>
      <c r="AH60" s="16">
        <f t="shared" si="51"/>
        <v>47.956342350765226</v>
      </c>
      <c r="AI60" s="16">
        <f t="shared" si="52"/>
        <v>2.3678380520721123</v>
      </c>
      <c r="AJ60" s="16">
        <f t="shared" si="53"/>
        <v>14.938720757708177</v>
      </c>
      <c r="AK60" s="16">
        <f t="shared" si="54"/>
        <v>15.22326781975976</v>
      </c>
      <c r="AL60" s="16">
        <f t="shared" si="55"/>
        <v>0</v>
      </c>
      <c r="AM60" s="16">
        <f t="shared" si="56"/>
        <v>0.14328977053311923</v>
      </c>
      <c r="AN60" s="16">
        <f t="shared" si="57"/>
        <v>6.5547448222597104</v>
      </c>
      <c r="AO60" s="16">
        <f t="shared" si="58"/>
        <v>9.390053047702283</v>
      </c>
      <c r="AP60" s="16">
        <f t="shared" si="59"/>
        <v>2.9674193613950934</v>
      </c>
      <c r="AQ60" s="16">
        <f t="shared" si="60"/>
        <v>0.22357269161195911</v>
      </c>
      <c r="AR60" s="16">
        <f t="shared" si="61"/>
        <v>0.23475132619255706</v>
      </c>
      <c r="AS60" s="16">
        <f t="shared" si="62"/>
        <v>99.999999999999972</v>
      </c>
      <c r="AT60" s="16">
        <f t="shared" si="63"/>
        <v>13.685717769964025</v>
      </c>
      <c r="AV60" s="1" t="s">
        <v>401</v>
      </c>
      <c r="AW60" s="69">
        <v>6.0625383043935956</v>
      </c>
      <c r="AX60" s="69">
        <v>0.98491291489470867</v>
      </c>
      <c r="AY60" s="69">
        <v>42.285347269648348</v>
      </c>
      <c r="AZ60" s="69">
        <v>394.13430334859731</v>
      </c>
      <c r="BA60" s="69"/>
      <c r="BB60" s="69">
        <v>143.62453893750697</v>
      </c>
      <c r="BC60" s="69"/>
      <c r="BD60" s="69">
        <v>47.046829337653989</v>
      </c>
      <c r="BE60" s="69"/>
      <c r="BF60" s="69">
        <v>65.753514545288354</v>
      </c>
      <c r="BG60" s="69"/>
      <c r="BH60" s="69">
        <v>94.785310136929127</v>
      </c>
      <c r="BI60" s="69"/>
      <c r="BJ60" s="69">
        <v>93.892615810926571</v>
      </c>
      <c r="BK60" s="69"/>
      <c r="BL60" s="69">
        <v>21.354614253819726</v>
      </c>
      <c r="BM60" s="69"/>
      <c r="BN60" s="69">
        <v>2.2779033564975664</v>
      </c>
      <c r="BP60" s="69">
        <v>210.00825618008997</v>
      </c>
      <c r="BQ60" s="69"/>
      <c r="BR60" s="69">
        <v>34.246994640174506</v>
      </c>
      <c r="BS60" s="69"/>
      <c r="BT60" s="69">
        <v>131.73673241870338</v>
      </c>
      <c r="BV60" s="9">
        <v>8.0593509206724416</v>
      </c>
      <c r="BZ60" s="9">
        <v>3.3425303387498551E-2</v>
      </c>
      <c r="CA60" s="9">
        <v>34.091535638829981</v>
      </c>
      <c r="CB60" s="9">
        <v>8.2527141370743688</v>
      </c>
      <c r="CC60" s="9">
        <v>21.552928637290396</v>
      </c>
      <c r="CD60" s="9">
        <v>3.1512538492302538</v>
      </c>
      <c r="CE60" s="9">
        <v>14.84960800328726</v>
      </c>
      <c r="CF60" s="9">
        <v>4.8663248250520565</v>
      </c>
      <c r="CG60" s="9">
        <v>1.7664097460143151</v>
      </c>
      <c r="CH60" s="9">
        <v>5.7809221561949267</v>
      </c>
      <c r="CI60" s="9">
        <v>1.0077491645639558</v>
      </c>
      <c r="CJ60" s="9">
        <v>6.2270855274598027</v>
      </c>
      <c r="CK60" s="9">
        <v>1.3116930986328685</v>
      </c>
      <c r="CL60" s="9">
        <v>3.5788731746989075</v>
      </c>
      <c r="CM60" s="9">
        <v>0.54285049044799816</v>
      </c>
      <c r="CN60" s="9">
        <v>3.3363539712645047</v>
      </c>
      <c r="CO60" s="9">
        <v>0.51112926545323878</v>
      </c>
      <c r="CP60" s="9">
        <v>3.5678164623706063</v>
      </c>
      <c r="CQ60" s="9">
        <v>0.5634108790026483</v>
      </c>
      <c r="CR60" s="9">
        <v>0.85744930327156355</v>
      </c>
      <c r="CS60" s="9">
        <v>0.71115946541040032</v>
      </c>
      <c r="CT60" s="9">
        <v>0.27985264606404175</v>
      </c>
    </row>
    <row r="61" spans="1:98">
      <c r="A61" s="1" t="s">
        <v>271</v>
      </c>
      <c r="B61" s="1" t="s">
        <v>264</v>
      </c>
      <c r="C61" s="1" t="s">
        <v>788</v>
      </c>
      <c r="D61" s="55">
        <v>67.311111111111103</v>
      </c>
      <c r="E61" s="55">
        <v>3.7405555555555599</v>
      </c>
      <c r="I61" s="9">
        <v>231.17</v>
      </c>
      <c r="J61" s="1" t="s">
        <v>256</v>
      </c>
      <c r="K61" s="1" t="s">
        <v>52</v>
      </c>
      <c r="L61" s="1" t="s">
        <v>864</v>
      </c>
      <c r="M61" s="78" t="s">
        <v>862</v>
      </c>
      <c r="N61" s="78"/>
      <c r="P61" s="1" t="s">
        <v>262</v>
      </c>
      <c r="Q61" s="1" t="s">
        <v>269</v>
      </c>
      <c r="R61" s="4">
        <v>47.9</v>
      </c>
      <c r="S61" s="4">
        <v>2.4609999999999999</v>
      </c>
      <c r="T61" s="4">
        <v>13.28</v>
      </c>
      <c r="U61" s="4">
        <v>15.6</v>
      </c>
      <c r="W61" s="27">
        <v>0.17699999999999999</v>
      </c>
      <c r="X61" s="4">
        <v>6.8</v>
      </c>
      <c r="Y61" s="4">
        <v>9.93</v>
      </c>
      <c r="Z61" s="4">
        <v>2.85</v>
      </c>
      <c r="AA61" s="4">
        <v>0.15</v>
      </c>
      <c r="AB61" s="4">
        <v>0.23300000000000001</v>
      </c>
      <c r="AC61" s="9">
        <v>0.8</v>
      </c>
      <c r="AD61" s="21">
        <f t="shared" si="48"/>
        <v>100.181</v>
      </c>
      <c r="AE61" s="21">
        <f t="shared" si="49"/>
        <v>14.0244</v>
      </c>
      <c r="AF61" s="23">
        <f t="shared" si="50"/>
        <v>0.46363173485178999</v>
      </c>
      <c r="AH61" s="16">
        <f t="shared" si="51"/>
        <v>48.198347772713092</v>
      </c>
      <c r="AI61" s="16">
        <f t="shared" si="52"/>
        <v>2.476328473249414</v>
      </c>
      <c r="AJ61" s="16">
        <f t="shared" si="53"/>
        <v>13.362715207132148</v>
      </c>
      <c r="AK61" s="16">
        <f t="shared" si="54"/>
        <v>15.697165454161258</v>
      </c>
      <c r="AL61" s="16">
        <f t="shared" si="55"/>
        <v>0</v>
      </c>
      <c r="AM61" s="16">
        <f t="shared" si="56"/>
        <v>0.17810245419144505</v>
      </c>
      <c r="AN61" s="16">
        <f t="shared" si="57"/>
        <v>6.8423541723267025</v>
      </c>
      <c r="AO61" s="16">
        <f t="shared" si="58"/>
        <v>9.9918495487064938</v>
      </c>
      <c r="AP61" s="16">
        <f t="shared" si="59"/>
        <v>2.8677513810486914</v>
      </c>
      <c r="AQ61" s="16">
        <f t="shared" si="60"/>
        <v>0.15093428321308902</v>
      </c>
      <c r="AR61" s="16">
        <f t="shared" si="61"/>
        <v>0.23445125325766494</v>
      </c>
      <c r="AS61" s="16">
        <f t="shared" si="62"/>
        <v>100.00000000000001</v>
      </c>
      <c r="AT61" s="16">
        <f t="shared" si="63"/>
        <v>14.111751743290972</v>
      </c>
      <c r="AV61" s="1" t="s">
        <v>401</v>
      </c>
      <c r="AW61" s="69">
        <v>6.5778555562913441</v>
      </c>
      <c r="AX61" s="69">
        <v>0.60855518156569133</v>
      </c>
      <c r="AY61" s="69">
        <v>43.905150245451921</v>
      </c>
      <c r="AZ61" s="69">
        <v>411.15424687322451</v>
      </c>
      <c r="BA61" s="69"/>
      <c r="BB61" s="69">
        <v>129.0202910398142</v>
      </c>
      <c r="BC61" s="69"/>
      <c r="BD61" s="69">
        <v>48.651765538505238</v>
      </c>
      <c r="BE61" s="69"/>
      <c r="BF61" s="69">
        <v>58.735815135819401</v>
      </c>
      <c r="BG61" s="69"/>
      <c r="BH61" s="69">
        <v>184.61858293837898</v>
      </c>
      <c r="BI61" s="69"/>
      <c r="BJ61" s="69">
        <v>97.299662554218969</v>
      </c>
      <c r="BK61" s="69"/>
      <c r="BL61" s="69">
        <v>20.549259169795921</v>
      </c>
      <c r="BM61" s="69"/>
      <c r="BN61" s="69">
        <v>0.84488686166830473</v>
      </c>
      <c r="BP61" s="69">
        <v>200.3096362630958</v>
      </c>
      <c r="BQ61" s="69"/>
      <c r="BR61" s="69">
        <v>36.900937200180238</v>
      </c>
      <c r="BS61" s="69"/>
      <c r="BT61" s="69">
        <v>140.03010918853562</v>
      </c>
      <c r="BV61" s="9">
        <v>8.5709869739961437</v>
      </c>
      <c r="BZ61" s="9">
        <v>6.4984078993209774E-3</v>
      </c>
      <c r="CA61" s="9">
        <v>36.862683071278134</v>
      </c>
      <c r="CB61" s="9">
        <v>8.6828083971980394</v>
      </c>
      <c r="CC61" s="9">
        <v>22.898850723339969</v>
      </c>
      <c r="CD61" s="9">
        <v>3.329728501222335</v>
      </c>
      <c r="CE61" s="9">
        <v>15.931299057805958</v>
      </c>
      <c r="CF61" s="9">
        <v>5.2206621484330489</v>
      </c>
      <c r="CG61" s="9">
        <v>1.8520588817972257</v>
      </c>
      <c r="CH61" s="9">
        <v>6.1784147391349107</v>
      </c>
      <c r="CI61" s="9">
        <v>1.0891104129927531</v>
      </c>
      <c r="CJ61" s="9">
        <v>6.7924600617695496</v>
      </c>
      <c r="CK61" s="9">
        <v>1.4096542306298496</v>
      </c>
      <c r="CL61" s="9">
        <v>3.8159603599586442</v>
      </c>
      <c r="CM61" s="9">
        <v>0.5712388325955039</v>
      </c>
      <c r="CN61" s="9">
        <v>3.519915898119117</v>
      </c>
      <c r="CO61" s="9">
        <v>0.53827824671131042</v>
      </c>
      <c r="CP61" s="9">
        <v>3.7772654099017564</v>
      </c>
      <c r="CQ61" s="9">
        <v>0.58931066914848118</v>
      </c>
      <c r="CR61" s="9">
        <v>0.86709983442791427</v>
      </c>
      <c r="CS61" s="9">
        <v>0.73916453539040139</v>
      </c>
      <c r="CT61" s="9">
        <v>0.26346067931066181</v>
      </c>
    </row>
    <row r="62" spans="1:98">
      <c r="A62" s="1" t="s">
        <v>271</v>
      </c>
      <c r="B62" s="1" t="s">
        <v>264</v>
      </c>
      <c r="C62" s="1" t="s">
        <v>789</v>
      </c>
      <c r="D62" s="55">
        <v>67.311111111111103</v>
      </c>
      <c r="E62" s="55">
        <v>3.7405555555555599</v>
      </c>
      <c r="I62" s="9">
        <v>239.68</v>
      </c>
      <c r="J62" s="1" t="s">
        <v>256</v>
      </c>
      <c r="K62" s="1" t="s">
        <v>52</v>
      </c>
      <c r="L62" s="1" t="s">
        <v>864</v>
      </c>
      <c r="M62" s="78" t="s">
        <v>862</v>
      </c>
      <c r="N62" s="78"/>
      <c r="P62" s="1" t="s">
        <v>262</v>
      </c>
      <c r="Q62" s="1" t="s">
        <v>269</v>
      </c>
      <c r="R62" s="4">
        <v>48.56</v>
      </c>
      <c r="S62" s="4">
        <v>2.5430000000000001</v>
      </c>
      <c r="T62" s="4">
        <v>13.64</v>
      </c>
      <c r="U62" s="4">
        <v>15.3</v>
      </c>
      <c r="W62" s="27">
        <v>0.218</v>
      </c>
      <c r="X62" s="4">
        <v>6.16</v>
      </c>
      <c r="Y62" s="4">
        <v>8.82</v>
      </c>
      <c r="Z62" s="4">
        <v>2.99</v>
      </c>
      <c r="AA62" s="4">
        <v>0.49</v>
      </c>
      <c r="AB62" s="4">
        <v>0.22700000000000001</v>
      </c>
      <c r="AC62" s="9">
        <v>0.88</v>
      </c>
      <c r="AD62" s="21">
        <f t="shared" si="48"/>
        <v>99.827999999999975</v>
      </c>
      <c r="AE62" s="21">
        <f t="shared" si="49"/>
        <v>13.754700000000001</v>
      </c>
      <c r="AF62" s="23">
        <f t="shared" si="50"/>
        <v>0.44394706268884976</v>
      </c>
      <c r="AH62" s="16">
        <f t="shared" si="51"/>
        <v>49.076282491813892</v>
      </c>
      <c r="AI62" s="16">
        <f t="shared" si="52"/>
        <v>2.5700367869992324</v>
      </c>
      <c r="AJ62" s="16">
        <f t="shared" si="53"/>
        <v>13.78501839349962</v>
      </c>
      <c r="AK62" s="16">
        <f t="shared" si="54"/>
        <v>15.462667259570686</v>
      </c>
      <c r="AL62" s="16">
        <f t="shared" si="55"/>
        <v>0</v>
      </c>
      <c r="AM62" s="16">
        <f t="shared" si="56"/>
        <v>0.22031774265270654</v>
      </c>
      <c r="AN62" s="16">
        <f t="shared" si="57"/>
        <v>6.2254921777095049</v>
      </c>
      <c r="AO62" s="16">
        <f t="shared" si="58"/>
        <v>8.9137728908113374</v>
      </c>
      <c r="AP62" s="16">
        <f t="shared" si="59"/>
        <v>3.021789222621984</v>
      </c>
      <c r="AQ62" s="16">
        <f t="shared" si="60"/>
        <v>0.49520960504507427</v>
      </c>
      <c r="AR62" s="16">
        <f t="shared" si="61"/>
        <v>0.22941342927598338</v>
      </c>
      <c r="AS62" s="16">
        <f t="shared" si="62"/>
        <v>100.00000000000003</v>
      </c>
      <c r="AT62" s="16">
        <f t="shared" si="63"/>
        <v>13.900937866354047</v>
      </c>
      <c r="AV62" s="1" t="s">
        <v>401</v>
      </c>
      <c r="AW62" s="69">
        <v>6.3365855289041813</v>
      </c>
      <c r="AX62" s="69">
        <v>0.78991030104475612</v>
      </c>
      <c r="AY62" s="69">
        <v>40.493930954458726</v>
      </c>
      <c r="AZ62" s="69">
        <v>396.78810791747406</v>
      </c>
      <c r="BA62" s="69"/>
      <c r="BB62" s="69">
        <v>53.637682728622593</v>
      </c>
      <c r="BC62" s="69"/>
      <c r="BD62" s="69">
        <v>48.152422662391238</v>
      </c>
      <c r="BE62" s="69"/>
      <c r="BF62" s="69">
        <v>49.446534734915062</v>
      </c>
      <c r="BG62" s="69"/>
      <c r="BH62" s="69">
        <v>150.791754627372</v>
      </c>
      <c r="BI62" s="69"/>
      <c r="BJ62" s="69">
        <v>134.45806378691842</v>
      </c>
      <c r="BK62" s="69"/>
      <c r="BL62" s="69">
        <v>21.909258059658317</v>
      </c>
      <c r="BM62" s="69"/>
      <c r="BN62" s="69">
        <v>11.758955533692786</v>
      </c>
      <c r="BP62" s="69">
        <v>201.64350581837823</v>
      </c>
      <c r="BQ62" s="69"/>
      <c r="BR62" s="69">
        <v>35.984924519629793</v>
      </c>
      <c r="BS62" s="69"/>
      <c r="BT62" s="69">
        <v>149.71423359995043</v>
      </c>
      <c r="BV62" s="9">
        <v>8.8129081865888068</v>
      </c>
      <c r="BZ62" s="9">
        <v>0.31362252556147802</v>
      </c>
      <c r="CA62" s="9">
        <v>57.260342041762584</v>
      </c>
      <c r="CB62" s="9">
        <v>8.8091878983915226</v>
      </c>
      <c r="CC62" s="9">
        <v>23.567592249183893</v>
      </c>
      <c r="CD62" s="9">
        <v>3.5204745506967412</v>
      </c>
      <c r="CE62" s="9">
        <v>16.897739929883485</v>
      </c>
      <c r="CF62" s="9">
        <v>5.5454261212475728</v>
      </c>
      <c r="CG62" s="9">
        <v>1.9335939394800246</v>
      </c>
      <c r="CH62" s="9">
        <v>6.5060320429704932</v>
      </c>
      <c r="CI62" s="9">
        <v>1.1197646263417234</v>
      </c>
      <c r="CJ62" s="9">
        <v>6.8792240020834718</v>
      </c>
      <c r="CK62" s="9">
        <v>1.4330546301891185</v>
      </c>
      <c r="CL62" s="9">
        <v>3.9141424635612707</v>
      </c>
      <c r="CM62" s="9">
        <v>0.58512910171221399</v>
      </c>
      <c r="CN62" s="9">
        <v>3.5966986750959666</v>
      </c>
      <c r="CO62" s="9">
        <v>0.54714784117198079</v>
      </c>
      <c r="CP62" s="9">
        <v>4.0343853527402977</v>
      </c>
      <c r="CQ62" s="9">
        <v>0.59415119340819567</v>
      </c>
      <c r="CR62" s="9">
        <v>0.98183837834535159</v>
      </c>
      <c r="CS62" s="9">
        <v>0.73625194823209628</v>
      </c>
      <c r="CT62" s="9">
        <v>0.22204876753980995</v>
      </c>
    </row>
    <row r="63" spans="1:98">
      <c r="A63" s="56" t="s">
        <v>655</v>
      </c>
      <c r="B63" s="16"/>
      <c r="C63" s="26"/>
      <c r="D63" s="30"/>
      <c r="E63" s="30"/>
      <c r="F63" s="16"/>
      <c r="G63" s="16"/>
      <c r="H63" s="16"/>
      <c r="I63" s="17"/>
      <c r="J63" s="16"/>
      <c r="K63" s="16"/>
      <c r="L63" s="16"/>
      <c r="M63" s="16"/>
      <c r="N63" s="16"/>
      <c r="O63" s="18"/>
      <c r="P63" s="12"/>
      <c r="Q63" s="16"/>
      <c r="R63" s="25"/>
      <c r="S63" s="25"/>
      <c r="T63" s="25"/>
      <c r="U63" s="25"/>
      <c r="V63" s="26"/>
      <c r="W63" s="25"/>
      <c r="X63" s="25"/>
      <c r="Y63" s="25"/>
      <c r="Z63" s="25"/>
      <c r="AA63" s="25"/>
      <c r="AB63" s="25"/>
      <c r="AC63" s="15"/>
      <c r="AD63" s="23"/>
      <c r="AE63" s="23"/>
      <c r="AF63" s="23"/>
      <c r="AG63" s="45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45"/>
      <c r="AV63" s="16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15"/>
      <c r="BP63" s="72"/>
      <c r="BQ63" s="72"/>
      <c r="BR63" s="72"/>
      <c r="BS63" s="72"/>
      <c r="BT63" s="72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</row>
    <row r="64" spans="1:98">
      <c r="A64" s="1" t="s">
        <v>271</v>
      </c>
      <c r="B64" s="1" t="s">
        <v>265</v>
      </c>
      <c r="C64" s="59" t="s">
        <v>741</v>
      </c>
      <c r="D64" s="55">
        <v>67.340277777777771</v>
      </c>
      <c r="E64" s="55">
        <v>3.6211111111111114</v>
      </c>
      <c r="I64" s="9">
        <v>209.21</v>
      </c>
      <c r="J64" s="1" t="s">
        <v>256</v>
      </c>
      <c r="K64" s="1" t="s">
        <v>52</v>
      </c>
      <c r="L64" s="1" t="s">
        <v>864</v>
      </c>
      <c r="M64" s="78" t="s">
        <v>862</v>
      </c>
      <c r="N64" s="78"/>
      <c r="P64" s="1" t="s">
        <v>815</v>
      </c>
      <c r="Q64" s="1" t="s">
        <v>286</v>
      </c>
      <c r="R64" s="4">
        <v>52.345999999999997</v>
      </c>
      <c r="S64" s="4">
        <v>2.254</v>
      </c>
      <c r="T64" s="4">
        <v>11.407999999999999</v>
      </c>
      <c r="U64" s="4">
        <v>7.4210000000000003</v>
      </c>
      <c r="W64" s="4">
        <v>0.73499999999999999</v>
      </c>
      <c r="X64" s="4">
        <v>2.633</v>
      </c>
      <c r="Y64" s="4">
        <v>8.2409999999999997</v>
      </c>
      <c r="Z64" s="4">
        <v>3.0880000000000001</v>
      </c>
      <c r="AA64" s="4">
        <v>0.47299999999999998</v>
      </c>
      <c r="AB64" s="4">
        <v>0.78300000000000003</v>
      </c>
      <c r="AC64" s="9">
        <v>7.1139404802373383</v>
      </c>
      <c r="AD64" s="21">
        <f t="shared" ref="AD64:AD76" si="64">SUM(R64:AB64)</f>
        <v>89.381999999999991</v>
      </c>
      <c r="AE64" s="21">
        <f t="shared" ref="AE64:AE76" si="65">V64+0.899*U64</f>
        <v>6.6714790000000006</v>
      </c>
      <c r="AF64" s="23">
        <f t="shared" ref="AF64:AF76" si="66">(X64/40.3)/((X64/40.3)+(AE64/71.844))</f>
        <v>0.41300125232209683</v>
      </c>
      <c r="AH64" s="16">
        <f t="shared" ref="AH64:AH76" si="67">100*R64/SUM($R64:$AB64)</f>
        <v>58.564364189657873</v>
      </c>
      <c r="AI64" s="16">
        <f t="shared" ref="AI64:AI76" si="68">100*S64/SUM($R64:$AB64)</f>
        <v>2.5217605334407378</v>
      </c>
      <c r="AJ64" s="16">
        <f t="shared" ref="AJ64:AJ76" si="69">100*T64/SUM($R64:$AB64)</f>
        <v>12.76319616925108</v>
      </c>
      <c r="AK64" s="16">
        <f t="shared" ref="AK64:AK76" si="70">100*U64/SUM($R64:$AB64)</f>
        <v>8.3025665122731649</v>
      </c>
      <c r="AL64" s="16">
        <f t="shared" ref="AL64:AL76" si="71">100*V64/SUM($R64:$AB64)</f>
        <v>0</v>
      </c>
      <c r="AM64" s="16">
        <f t="shared" ref="AM64:AM76" si="72">100*W64/SUM($R64:$AB64)</f>
        <v>0.82231321742632757</v>
      </c>
      <c r="AN64" s="16">
        <f t="shared" ref="AN64:AN76" si="73">100*X64/SUM($R64:$AB64)</f>
        <v>2.9457832673245177</v>
      </c>
      <c r="AO64" s="16">
        <f t="shared" ref="AO64:AO76" si="74">100*Y64/SUM($R64:$AB64)</f>
        <v>9.2199771766127405</v>
      </c>
      <c r="AP64" s="16">
        <f t="shared" ref="AP64:AP76" si="75">100*Z64/SUM($R64:$AB64)</f>
        <v>3.4548343066836726</v>
      </c>
      <c r="AQ64" s="16">
        <f t="shared" ref="AQ64:AQ76" si="76">100*AA64/SUM($R64:$AB64)</f>
        <v>0.52918932223490189</v>
      </c>
      <c r="AR64" s="16">
        <f t="shared" ref="AR64:AR76" si="77">100*AB64/SUM($R64:$AB64)</f>
        <v>0.8760153050949856</v>
      </c>
      <c r="AS64" s="16">
        <f t="shared" ref="AS64:AS76" si="78">SUM(AH64:AR64)</f>
        <v>100</v>
      </c>
      <c r="AT64" s="16">
        <f t="shared" ref="AT64:AT76" si="79">AL64+0.899*AK64</f>
        <v>7.4640072945335758</v>
      </c>
      <c r="AV64" s="1" t="s">
        <v>400</v>
      </c>
      <c r="AW64" s="69">
        <v>32.238620478014553</v>
      </c>
      <c r="AX64" s="69"/>
      <c r="AY64" s="69">
        <v>54.090982146052887</v>
      </c>
      <c r="AZ64" s="69">
        <v>442.16076954836535</v>
      </c>
      <c r="BA64" s="69"/>
      <c r="BB64" s="69">
        <v>285.70995998872399</v>
      </c>
      <c r="BC64" s="69"/>
      <c r="BD64" s="69">
        <v>84.058474654474594</v>
      </c>
      <c r="BE64" s="69"/>
      <c r="BF64" s="69"/>
      <c r="BG64" s="69"/>
      <c r="BH64" s="69">
        <v>219.62311183423284</v>
      </c>
      <c r="BI64" s="69"/>
      <c r="BJ64" s="69">
        <v>120.07508268546643</v>
      </c>
      <c r="BK64" s="69"/>
      <c r="BL64" s="69">
        <v>23.615004443890182</v>
      </c>
      <c r="BM64" s="69"/>
      <c r="BN64" s="69">
        <v>6.2529597434889546</v>
      </c>
      <c r="BP64" s="69">
        <v>277.35600899941238</v>
      </c>
      <c r="BQ64" s="69"/>
      <c r="BR64" s="69">
        <v>51.221447297878051</v>
      </c>
      <c r="BS64" s="69"/>
      <c r="BT64" s="69">
        <v>187.90577987203105</v>
      </c>
      <c r="BV64" s="9">
        <v>16.394674858950005</v>
      </c>
      <c r="BZ64" s="9">
        <v>2.8287052520991784E-2</v>
      </c>
      <c r="CA64" s="9">
        <v>111.81127241676181</v>
      </c>
      <c r="CB64" s="9">
        <v>15.496372712094951</v>
      </c>
      <c r="CC64" s="9">
        <v>36.54075324191394</v>
      </c>
      <c r="CD64" s="9">
        <v>5.2201927107701671</v>
      </c>
      <c r="CE64" s="9">
        <v>24.341488227962863</v>
      </c>
      <c r="CF64" s="9">
        <v>7.1664674358474985</v>
      </c>
      <c r="CG64" s="9">
        <v>2.1555382650992772</v>
      </c>
      <c r="CH64" s="9">
        <v>8.265893444727654</v>
      </c>
      <c r="CI64" s="9">
        <v>1.3155311541084618</v>
      </c>
      <c r="CJ64" s="9">
        <v>8.3565565333535581</v>
      </c>
      <c r="CK64" s="9">
        <v>1.6655010385645119</v>
      </c>
      <c r="CL64" s="9">
        <v>4.7808168509767892</v>
      </c>
      <c r="CM64" s="9">
        <v>0.6697625571174266</v>
      </c>
      <c r="CN64" s="9">
        <v>4.1932838029886366</v>
      </c>
      <c r="CO64" s="9">
        <v>0.64399021309399029</v>
      </c>
      <c r="CP64" s="9">
        <v>4.4198957243048378</v>
      </c>
      <c r="CQ64" s="9">
        <v>0.98079641420105046</v>
      </c>
      <c r="CR64" s="9">
        <v>1.7836848729413477</v>
      </c>
      <c r="CS64" s="9">
        <v>1.7104170218767345</v>
      </c>
      <c r="CT64" s="9">
        <v>1.4910617834938991</v>
      </c>
    </row>
    <row r="65" spans="1:98">
      <c r="A65" s="1" t="s">
        <v>271</v>
      </c>
      <c r="B65" s="1" t="s">
        <v>265</v>
      </c>
      <c r="C65" s="1" t="s">
        <v>742</v>
      </c>
      <c r="D65" s="55">
        <v>67.340277777777771</v>
      </c>
      <c r="E65" s="55">
        <v>3.6211111111111114</v>
      </c>
      <c r="I65" s="9">
        <v>217.58</v>
      </c>
      <c r="J65" s="1" t="s">
        <v>256</v>
      </c>
      <c r="K65" s="1" t="s">
        <v>52</v>
      </c>
      <c r="L65" s="1" t="s">
        <v>864</v>
      </c>
      <c r="M65" s="78" t="s">
        <v>862</v>
      </c>
      <c r="N65" s="78"/>
      <c r="P65" s="1" t="s">
        <v>815</v>
      </c>
      <c r="Q65" s="1" t="s">
        <v>286</v>
      </c>
      <c r="R65" s="4">
        <v>50.256</v>
      </c>
      <c r="S65" s="4">
        <v>2.6160000000000001</v>
      </c>
      <c r="T65" s="4">
        <v>13.486000000000001</v>
      </c>
      <c r="U65" s="4">
        <v>12.936999999999999</v>
      </c>
      <c r="W65" s="4">
        <v>0.22800000000000001</v>
      </c>
      <c r="X65" s="4">
        <v>6.1070000000000002</v>
      </c>
      <c r="Y65" s="4">
        <v>10.592000000000001</v>
      </c>
      <c r="Z65" s="4">
        <v>2.6909999999999998</v>
      </c>
      <c r="AA65" s="4">
        <v>0.32100000000000001</v>
      </c>
      <c r="AB65" s="4">
        <v>0.26800000000000002</v>
      </c>
      <c r="AC65" s="9">
        <v>2.7756384584578315</v>
      </c>
      <c r="AD65" s="21">
        <f t="shared" si="64"/>
        <v>99.501999999999995</v>
      </c>
      <c r="AE65" s="21">
        <f t="shared" si="65"/>
        <v>11.630362999999999</v>
      </c>
      <c r="AF65" s="23">
        <f t="shared" si="66"/>
        <v>0.48349652435507073</v>
      </c>
      <c r="AH65" s="16">
        <f t="shared" si="67"/>
        <v>50.50752748688469</v>
      </c>
      <c r="AI65" s="16">
        <f t="shared" si="68"/>
        <v>2.629092882555125</v>
      </c>
      <c r="AJ65" s="16">
        <f t="shared" si="69"/>
        <v>13.553496412132422</v>
      </c>
      <c r="AK65" s="16">
        <f t="shared" si="70"/>
        <v>13.001748708568673</v>
      </c>
      <c r="AL65" s="16">
        <f t="shared" si="71"/>
        <v>0</v>
      </c>
      <c r="AM65" s="16">
        <f t="shared" si="72"/>
        <v>0.2291411227915017</v>
      </c>
      <c r="AN65" s="16">
        <f t="shared" si="73"/>
        <v>6.1375650740688634</v>
      </c>
      <c r="AO65" s="16">
        <f t="shared" si="74"/>
        <v>10.645012160559588</v>
      </c>
      <c r="AP65" s="16">
        <f t="shared" si="75"/>
        <v>2.7044682518944341</v>
      </c>
      <c r="AQ65" s="16">
        <f t="shared" si="76"/>
        <v>0.3226065807722458</v>
      </c>
      <c r="AR65" s="16">
        <f t="shared" si="77"/>
        <v>0.26934131977246689</v>
      </c>
      <c r="AS65" s="16">
        <f t="shared" si="78"/>
        <v>100.00000000000001</v>
      </c>
      <c r="AT65" s="16">
        <f t="shared" si="79"/>
        <v>11.688572089003237</v>
      </c>
      <c r="AV65" s="1" t="s">
        <v>400</v>
      </c>
      <c r="AW65" s="69">
        <v>8.5876713170397636</v>
      </c>
      <c r="AX65" s="69"/>
      <c r="AY65" s="69">
        <v>46.424256265936904</v>
      </c>
      <c r="AZ65" s="69">
        <v>387.64328439572535</v>
      </c>
      <c r="BA65" s="69"/>
      <c r="BB65" s="69">
        <v>227.2135561684708</v>
      </c>
      <c r="BC65" s="69"/>
      <c r="BD65" s="69">
        <v>54.180853559612395</v>
      </c>
      <c r="BE65" s="69"/>
      <c r="BF65" s="69"/>
      <c r="BG65" s="69"/>
      <c r="BH65" s="69">
        <v>198.11751021232362</v>
      </c>
      <c r="BI65" s="69"/>
      <c r="BJ65" s="69">
        <v>114.61751048179229</v>
      </c>
      <c r="BK65" s="69"/>
      <c r="BL65" s="69">
        <v>21.522116117407098</v>
      </c>
      <c r="BM65" s="69"/>
      <c r="BN65" s="69">
        <v>3.8411755889198895</v>
      </c>
      <c r="BP65" s="69">
        <v>219.63517168970372</v>
      </c>
      <c r="BQ65" s="69"/>
      <c r="BR65" s="69">
        <v>39.49871904879344</v>
      </c>
      <c r="BS65" s="69"/>
      <c r="BT65" s="69">
        <v>171.86185102982884</v>
      </c>
      <c r="BV65" s="9">
        <v>14.952172014856016</v>
      </c>
      <c r="BZ65" s="9">
        <v>1.6379002491584575E-2</v>
      </c>
      <c r="CA65" s="9">
        <v>89.104990799130604</v>
      </c>
      <c r="CB65" s="9">
        <v>12.976837544098618</v>
      </c>
      <c r="CC65" s="9">
        <v>32.122402382895679</v>
      </c>
      <c r="CD65" s="9">
        <v>4.5490868535875677</v>
      </c>
      <c r="CE65" s="9">
        <v>20.762236206653832</v>
      </c>
      <c r="CF65" s="9">
        <v>5.8537270987289336</v>
      </c>
      <c r="CG65" s="9">
        <v>1.8311631399054022</v>
      </c>
      <c r="CH65" s="9">
        <v>6.8451284445724951</v>
      </c>
      <c r="CI65" s="9">
        <v>1.063468572781548</v>
      </c>
      <c r="CJ65" s="9">
        <v>6.7789228096722534</v>
      </c>
      <c r="CK65" s="9">
        <v>1.3715856836611979</v>
      </c>
      <c r="CL65" s="9">
        <v>3.7737329716621884</v>
      </c>
      <c r="CM65" s="9">
        <v>0.52419539456358022</v>
      </c>
      <c r="CN65" s="9">
        <v>3.3078175778654519</v>
      </c>
      <c r="CO65" s="9">
        <v>0.47413018202448765</v>
      </c>
      <c r="CP65" s="9">
        <v>4.0924946095981563</v>
      </c>
      <c r="CQ65" s="9">
        <v>0.83829781317090535</v>
      </c>
      <c r="CR65" s="9">
        <v>1.5179256824953125</v>
      </c>
      <c r="CS65" s="9">
        <v>1.5080146461998987</v>
      </c>
      <c r="CT65" s="9">
        <v>0.42203526180166107</v>
      </c>
    </row>
    <row r="66" spans="1:98">
      <c r="A66" s="1" t="s">
        <v>271</v>
      </c>
      <c r="B66" s="1" t="s">
        <v>265</v>
      </c>
      <c r="C66" s="1" t="s">
        <v>743</v>
      </c>
      <c r="D66" s="55">
        <v>67.340277777777771</v>
      </c>
      <c r="E66" s="55">
        <v>3.6211111111111114</v>
      </c>
      <c r="I66" s="9">
        <v>226.21</v>
      </c>
      <c r="J66" s="1" t="s">
        <v>256</v>
      </c>
      <c r="K66" s="1" t="s">
        <v>52</v>
      </c>
      <c r="L66" s="1" t="s">
        <v>864</v>
      </c>
      <c r="M66" s="78" t="s">
        <v>862</v>
      </c>
      <c r="N66" s="78"/>
      <c r="P66" s="1" t="s">
        <v>815</v>
      </c>
      <c r="Q66" s="1" t="s">
        <v>286</v>
      </c>
      <c r="R66" s="4">
        <v>48.680999999999997</v>
      </c>
      <c r="S66" s="4">
        <v>3.202</v>
      </c>
      <c r="T66" s="4">
        <v>13.733000000000001</v>
      </c>
      <c r="U66" s="4">
        <v>13.121</v>
      </c>
      <c r="W66" s="4">
        <v>0.20699999999999999</v>
      </c>
      <c r="X66" s="4">
        <v>5.9859999999999998</v>
      </c>
      <c r="Y66" s="4">
        <v>9.1760000000000002</v>
      </c>
      <c r="Z66" s="4">
        <v>3.0179999999999998</v>
      </c>
      <c r="AA66" s="4">
        <v>0.32</v>
      </c>
      <c r="AB66" s="4">
        <v>0.34799999999999998</v>
      </c>
      <c r="AC66" s="9">
        <v>3.0326956896241772</v>
      </c>
      <c r="AD66" s="21">
        <f t="shared" si="64"/>
        <v>97.791999999999987</v>
      </c>
      <c r="AE66" s="21">
        <f t="shared" si="65"/>
        <v>11.795779000000001</v>
      </c>
      <c r="AF66" s="23">
        <f t="shared" si="66"/>
        <v>0.47497774212221117</v>
      </c>
      <c r="AH66" s="16">
        <f t="shared" si="67"/>
        <v>49.780145615183244</v>
      </c>
      <c r="AI66" s="16">
        <f t="shared" si="68"/>
        <v>3.2742964659685865</v>
      </c>
      <c r="AJ66" s="16">
        <f t="shared" si="69"/>
        <v>14.043071007853404</v>
      </c>
      <c r="AK66" s="16">
        <f t="shared" si="70"/>
        <v>13.417252945026181</v>
      </c>
      <c r="AL66" s="16">
        <f t="shared" si="71"/>
        <v>0</v>
      </c>
      <c r="AM66" s="16">
        <f t="shared" si="72"/>
        <v>0.21167375654450263</v>
      </c>
      <c r="AN66" s="16">
        <f t="shared" si="73"/>
        <v>6.1211551047120425</v>
      </c>
      <c r="AO66" s="16">
        <f t="shared" si="74"/>
        <v>9.3831806282722532</v>
      </c>
      <c r="AP66" s="16">
        <f t="shared" si="75"/>
        <v>3.0861420157068062</v>
      </c>
      <c r="AQ66" s="16">
        <f t="shared" si="76"/>
        <v>0.3272251308900524</v>
      </c>
      <c r="AR66" s="16">
        <f t="shared" si="77"/>
        <v>0.35585732984293195</v>
      </c>
      <c r="AS66" s="16">
        <f t="shared" si="78"/>
        <v>100.00000000000001</v>
      </c>
      <c r="AT66" s="16">
        <f t="shared" si="79"/>
        <v>12.062110397578538</v>
      </c>
      <c r="AV66" s="1" t="s">
        <v>400</v>
      </c>
      <c r="AW66" s="69">
        <v>7.5577636954136072</v>
      </c>
      <c r="AX66" s="69"/>
      <c r="AY66" s="69">
        <v>44.817504851684618</v>
      </c>
      <c r="AZ66" s="69">
        <v>398.83198956185277</v>
      </c>
      <c r="BA66" s="69"/>
      <c r="BB66" s="69">
        <v>164.4441027134354</v>
      </c>
      <c r="BC66" s="69"/>
      <c r="BD66" s="69">
        <v>56.992063452393474</v>
      </c>
      <c r="BE66" s="69"/>
      <c r="BF66" s="69"/>
      <c r="BG66" s="69"/>
      <c r="BH66" s="69">
        <v>233.00196519853503</v>
      </c>
      <c r="BI66" s="69"/>
      <c r="BJ66" s="69">
        <v>136.67817433944566</v>
      </c>
      <c r="BK66" s="69"/>
      <c r="BL66" s="69">
        <v>22.721223825885509</v>
      </c>
      <c r="BM66" s="69"/>
      <c r="BN66" s="69">
        <v>1.4434697076072835</v>
      </c>
      <c r="BP66" s="69">
        <v>232.11340291097443</v>
      </c>
      <c r="BQ66" s="69"/>
      <c r="BR66" s="69">
        <v>42.384817521604425</v>
      </c>
      <c r="BS66" s="69"/>
      <c r="BT66" s="69">
        <v>220.19449961250919</v>
      </c>
      <c r="BV66" s="9">
        <v>19.123122682274769</v>
      </c>
      <c r="BZ66" s="9">
        <v>1.1519305258040418E-2</v>
      </c>
      <c r="CA66" s="9">
        <v>97.948076698375985</v>
      </c>
      <c r="CB66" s="9">
        <v>16.351427636928531</v>
      </c>
      <c r="CC66" s="9">
        <v>40.245676972576604</v>
      </c>
      <c r="CD66" s="9">
        <v>5.6966619039982023</v>
      </c>
      <c r="CE66" s="9">
        <v>26.269023711649215</v>
      </c>
      <c r="CF66" s="9">
        <v>7.1207539810169145</v>
      </c>
      <c r="CG66" s="9">
        <v>2.1277685661792529</v>
      </c>
      <c r="CH66" s="9">
        <v>7.9261888240065321</v>
      </c>
      <c r="CI66" s="9">
        <v>1.2833388273496187</v>
      </c>
      <c r="CJ66" s="9">
        <v>7.8565810591488399</v>
      </c>
      <c r="CK66" s="9">
        <v>1.5094369975693278</v>
      </c>
      <c r="CL66" s="9">
        <v>4.2608438412587804</v>
      </c>
      <c r="CM66" s="9">
        <v>0.61950511089765392</v>
      </c>
      <c r="CN66" s="9">
        <v>3.7321263639846105</v>
      </c>
      <c r="CO66" s="9">
        <v>0.52428420538158127</v>
      </c>
      <c r="CP66" s="9">
        <v>5.1483754990107391</v>
      </c>
      <c r="CQ66" s="9">
        <v>1.1289549970493946</v>
      </c>
      <c r="CR66" s="9">
        <v>2.0758058185231119</v>
      </c>
      <c r="CS66" s="9">
        <v>1.9054429859025839</v>
      </c>
      <c r="CT66" s="9">
        <v>0.5594225859188352</v>
      </c>
    </row>
    <row r="67" spans="1:98">
      <c r="A67" s="1" t="s">
        <v>271</v>
      </c>
      <c r="B67" s="1" t="s">
        <v>265</v>
      </c>
      <c r="C67" s="1" t="s">
        <v>744</v>
      </c>
      <c r="D67" s="55">
        <v>67.340277777777771</v>
      </c>
      <c r="E67" s="55">
        <v>3.6211111111111114</v>
      </c>
      <c r="I67" s="9">
        <v>240.21</v>
      </c>
      <c r="J67" s="1" t="s">
        <v>256</v>
      </c>
      <c r="K67" s="1" t="s">
        <v>52</v>
      </c>
      <c r="L67" s="1" t="s">
        <v>864</v>
      </c>
      <c r="M67" s="78" t="s">
        <v>862</v>
      </c>
      <c r="N67" s="78"/>
      <c r="P67" s="1" t="s">
        <v>815</v>
      </c>
      <c r="Q67" s="1" t="s">
        <v>286</v>
      </c>
      <c r="R67" s="4">
        <v>49.045999999999999</v>
      </c>
      <c r="S67" s="4">
        <v>2.173</v>
      </c>
      <c r="T67" s="4">
        <v>12.92</v>
      </c>
      <c r="U67" s="4">
        <v>15.836</v>
      </c>
      <c r="W67" s="4">
        <v>0.27900000000000003</v>
      </c>
      <c r="X67" s="4">
        <v>5.9139999999999997</v>
      </c>
      <c r="Y67" s="4">
        <v>9.6370000000000005</v>
      </c>
      <c r="Z67" s="4">
        <v>2.6509999999999998</v>
      </c>
      <c r="AA67" s="4">
        <v>0.14599999999999999</v>
      </c>
      <c r="AB67" s="4">
        <v>0.22500000000000001</v>
      </c>
      <c r="AC67" s="9">
        <v>1.5211068312240448</v>
      </c>
      <c r="AD67" s="21">
        <f t="shared" si="64"/>
        <v>98.826999999999984</v>
      </c>
      <c r="AE67" s="21">
        <f t="shared" si="65"/>
        <v>14.236564000000001</v>
      </c>
      <c r="AF67" s="23">
        <f t="shared" si="66"/>
        <v>0.42547301755316225</v>
      </c>
      <c r="AH67" s="16">
        <f t="shared" si="67"/>
        <v>49.628138059437212</v>
      </c>
      <c r="AI67" s="16">
        <f t="shared" si="68"/>
        <v>2.198791828144131</v>
      </c>
      <c r="AJ67" s="16">
        <f t="shared" si="69"/>
        <v>13.073350400194281</v>
      </c>
      <c r="AK67" s="16">
        <f t="shared" si="70"/>
        <v>16.023961063272186</v>
      </c>
      <c r="AL67" s="16">
        <f t="shared" si="71"/>
        <v>0</v>
      </c>
      <c r="AM67" s="16">
        <f t="shared" si="72"/>
        <v>0.28231151405992294</v>
      </c>
      <c r="AN67" s="16">
        <f t="shared" si="73"/>
        <v>5.9841946026895494</v>
      </c>
      <c r="AO67" s="16">
        <f t="shared" si="74"/>
        <v>9.7513837311665856</v>
      </c>
      <c r="AP67" s="16">
        <f t="shared" si="75"/>
        <v>2.6824653181822784</v>
      </c>
      <c r="AQ67" s="16">
        <f t="shared" si="76"/>
        <v>0.14773290699909947</v>
      </c>
      <c r="AR67" s="16">
        <f t="shared" si="77"/>
        <v>0.22767057585477657</v>
      </c>
      <c r="AS67" s="16">
        <f t="shared" si="78"/>
        <v>100.00000000000003</v>
      </c>
      <c r="AT67" s="16">
        <f t="shared" si="79"/>
        <v>14.405540995881696</v>
      </c>
      <c r="AV67" s="1" t="s">
        <v>400</v>
      </c>
      <c r="AW67" s="69">
        <v>11.755510010538773</v>
      </c>
      <c r="AX67" s="69"/>
      <c r="AY67" s="69">
        <v>46.884291500307583</v>
      </c>
      <c r="AZ67" s="69">
        <v>439.44427195015891</v>
      </c>
      <c r="BA67" s="69"/>
      <c r="BB67" s="69">
        <v>164.50664533749725</v>
      </c>
      <c r="BC67" s="69"/>
      <c r="BD67" s="69">
        <v>53.382961259410294</v>
      </c>
      <c r="BE67" s="69"/>
      <c r="BF67" s="69"/>
      <c r="BG67" s="69"/>
      <c r="BH67" s="69">
        <v>194.23110977627653</v>
      </c>
      <c r="BI67" s="69"/>
      <c r="BJ67" s="69">
        <v>135.01974557554669</v>
      </c>
      <c r="BK67" s="69"/>
      <c r="BL67" s="69">
        <v>21.119989552641261</v>
      </c>
      <c r="BM67" s="69"/>
      <c r="BN67" s="69">
        <v>0.72445423775155737</v>
      </c>
      <c r="BP67" s="69">
        <v>158.00602540877162</v>
      </c>
      <c r="BQ67" s="69"/>
      <c r="BR67" s="69">
        <v>38.580300945266984</v>
      </c>
      <c r="BS67" s="69"/>
      <c r="BT67" s="69">
        <v>132.69881295298356</v>
      </c>
      <c r="BV67" s="9">
        <v>10.342392770183226</v>
      </c>
      <c r="BZ67" s="9">
        <v>1.1381022897507092E-2</v>
      </c>
      <c r="CA67" s="9">
        <v>47.551422916063856</v>
      </c>
      <c r="CB67" s="9">
        <v>8.7376922034004245</v>
      </c>
      <c r="CC67" s="9">
        <v>22.285896788624498</v>
      </c>
      <c r="CD67" s="9">
        <v>3.3118391225239319</v>
      </c>
      <c r="CE67" s="9">
        <v>15.721041418320464</v>
      </c>
      <c r="CF67" s="9">
        <v>4.7289884267323261</v>
      </c>
      <c r="CG67" s="9">
        <v>1.5304804780970118</v>
      </c>
      <c r="CH67" s="9">
        <v>5.9271943142583661</v>
      </c>
      <c r="CI67" s="9">
        <v>0.94600792853993798</v>
      </c>
      <c r="CJ67" s="9">
        <v>6.3414733969508799</v>
      </c>
      <c r="CK67" s="9">
        <v>1.244078498497289</v>
      </c>
      <c r="CL67" s="9">
        <v>3.7386560251864234</v>
      </c>
      <c r="CM67" s="9">
        <v>0.57762100362165569</v>
      </c>
      <c r="CN67" s="9">
        <v>3.471069398445398</v>
      </c>
      <c r="CO67" s="9">
        <v>0.50239603131873634</v>
      </c>
      <c r="CP67" s="9">
        <v>3.2324160265390112</v>
      </c>
      <c r="CQ67" s="9">
        <v>0.58623726000987031</v>
      </c>
      <c r="CR67" s="9">
        <v>0.91953877456273037</v>
      </c>
      <c r="CS67" s="9">
        <v>0.77655586823165867</v>
      </c>
      <c r="CT67" s="9">
        <v>0.21588226205198216</v>
      </c>
    </row>
    <row r="68" spans="1:98">
      <c r="A68" s="1" t="s">
        <v>271</v>
      </c>
      <c r="B68" s="1" t="s">
        <v>265</v>
      </c>
      <c r="C68" s="1" t="s">
        <v>745</v>
      </c>
      <c r="D68" s="55">
        <v>67.340277777777771</v>
      </c>
      <c r="E68" s="55">
        <v>3.6211111111111114</v>
      </c>
      <c r="I68" s="9">
        <v>258.46499999999997</v>
      </c>
      <c r="J68" s="1" t="s">
        <v>256</v>
      </c>
      <c r="K68" s="1" t="s">
        <v>52</v>
      </c>
      <c r="L68" s="1" t="s">
        <v>864</v>
      </c>
      <c r="M68" s="78" t="s">
        <v>862</v>
      </c>
      <c r="N68" s="78"/>
      <c r="P68" s="1" t="s">
        <v>815</v>
      </c>
      <c r="Q68" s="1" t="s">
        <v>286</v>
      </c>
      <c r="R68" s="4">
        <v>49.642000000000003</v>
      </c>
      <c r="S68" s="4">
        <v>1.984</v>
      </c>
      <c r="T68" s="4">
        <v>13.244999999999999</v>
      </c>
      <c r="U68" s="4">
        <v>13.847</v>
      </c>
      <c r="W68" s="4">
        <v>0.28499999999999998</v>
      </c>
      <c r="X68" s="4">
        <v>7.069</v>
      </c>
      <c r="Y68" s="4">
        <v>10.212</v>
      </c>
      <c r="Z68" s="4">
        <v>2.4950000000000001</v>
      </c>
      <c r="AA68" s="4">
        <v>0.185</v>
      </c>
      <c r="AB68" s="4">
        <v>0.20300000000000001</v>
      </c>
      <c r="AC68" s="9">
        <v>2.8710668503018972</v>
      </c>
      <c r="AD68" s="21">
        <f t="shared" si="64"/>
        <v>99.167000000000016</v>
      </c>
      <c r="AE68" s="21">
        <f t="shared" si="65"/>
        <v>12.448453000000001</v>
      </c>
      <c r="AF68" s="23">
        <f t="shared" si="66"/>
        <v>0.50306703698280464</v>
      </c>
      <c r="AH68" s="16">
        <f t="shared" si="67"/>
        <v>50.05899139834824</v>
      </c>
      <c r="AI68" s="16">
        <f t="shared" si="68"/>
        <v>2.0006655439813645</v>
      </c>
      <c r="AJ68" s="16">
        <f t="shared" si="69"/>
        <v>13.356257626024785</v>
      </c>
      <c r="AK68" s="16">
        <f t="shared" si="70"/>
        <v>13.963314409027195</v>
      </c>
      <c r="AL68" s="16">
        <f t="shared" si="71"/>
        <v>0</v>
      </c>
      <c r="AM68" s="16">
        <f t="shared" si="72"/>
        <v>0.28739399195296816</v>
      </c>
      <c r="AN68" s="16">
        <f t="shared" si="73"/>
        <v>7.1283794004053753</v>
      </c>
      <c r="AO68" s="16">
        <f t="shared" si="74"/>
        <v>10.297780511662143</v>
      </c>
      <c r="AP68" s="16">
        <f t="shared" si="75"/>
        <v>2.5159579295531778</v>
      </c>
      <c r="AQ68" s="16">
        <f t="shared" si="76"/>
        <v>0.18655399477648812</v>
      </c>
      <c r="AR68" s="16">
        <f t="shared" si="77"/>
        <v>0.20470519426825454</v>
      </c>
      <c r="AS68" s="16">
        <f t="shared" si="78"/>
        <v>100</v>
      </c>
      <c r="AT68" s="16">
        <f t="shared" si="79"/>
        <v>12.553019653715449</v>
      </c>
      <c r="AV68" s="1" t="s">
        <v>400</v>
      </c>
      <c r="AW68" s="69">
        <v>11.853149275459652</v>
      </c>
      <c r="AX68" s="69"/>
      <c r="AY68" s="69">
        <v>49.314399535544133</v>
      </c>
      <c r="AZ68" s="69">
        <v>349.84336025380156</v>
      </c>
      <c r="BA68" s="69"/>
      <c r="BB68" s="69">
        <v>203.08554434499339</v>
      </c>
      <c r="BC68" s="69"/>
      <c r="BD68" s="69">
        <v>53.244146845420339</v>
      </c>
      <c r="BE68" s="69"/>
      <c r="BF68" s="69"/>
      <c r="BG68" s="69"/>
      <c r="BH68" s="69">
        <v>141.18220931356313</v>
      </c>
      <c r="BI68" s="69"/>
      <c r="BJ68" s="69">
        <v>97.296410847569987</v>
      </c>
      <c r="BK68" s="69"/>
      <c r="BL68" s="69">
        <v>19.831466493240054</v>
      </c>
      <c r="BM68" s="69"/>
      <c r="BN68" s="69">
        <v>1.1304776781614898</v>
      </c>
      <c r="BP68" s="69">
        <v>175.2420022046293</v>
      </c>
      <c r="BQ68" s="69"/>
      <c r="BR68" s="69">
        <v>31.376977633382143</v>
      </c>
      <c r="BS68" s="69"/>
      <c r="BT68" s="69">
        <v>122.10541494173596</v>
      </c>
      <c r="BV68" s="9">
        <v>9.6595156109096845</v>
      </c>
      <c r="BZ68" s="9">
        <v>1.7174664641516308E-2</v>
      </c>
      <c r="CA68" s="9">
        <v>39.719332984378951</v>
      </c>
      <c r="CB68" s="9">
        <v>8.4536460238947857</v>
      </c>
      <c r="CC68" s="9">
        <v>21.686642272440228</v>
      </c>
      <c r="CD68" s="9">
        <v>3.2105999168584822</v>
      </c>
      <c r="CE68" s="9">
        <v>15.150787376239741</v>
      </c>
      <c r="CF68" s="9">
        <v>4.5397908622390233</v>
      </c>
      <c r="CG68" s="9">
        <v>1.5666588463562945</v>
      </c>
      <c r="CH68" s="9">
        <v>5.5282199424296978</v>
      </c>
      <c r="CI68" s="9">
        <v>0.86373672746098795</v>
      </c>
      <c r="CJ68" s="9">
        <v>5.6505151367624524</v>
      </c>
      <c r="CK68" s="9">
        <v>1.1120600193232162</v>
      </c>
      <c r="CL68" s="9">
        <v>3.1194073260824582</v>
      </c>
      <c r="CM68" s="9">
        <v>0.4668101296730745</v>
      </c>
      <c r="CN68" s="9">
        <v>2.8007686200443214</v>
      </c>
      <c r="CO68" s="9">
        <v>0.40917811100547685</v>
      </c>
      <c r="CP68" s="9">
        <v>3.0216283760212863</v>
      </c>
      <c r="CQ68" s="9">
        <v>0.61456162676761295</v>
      </c>
      <c r="CR68" s="9">
        <v>0.75223176076002118</v>
      </c>
      <c r="CS68" s="9">
        <v>0.74530004915360537</v>
      </c>
      <c r="CT68" s="9">
        <v>0.14555655088253608</v>
      </c>
    </row>
    <row r="69" spans="1:98">
      <c r="A69" s="1" t="s">
        <v>271</v>
      </c>
      <c r="B69" s="1" t="s">
        <v>265</v>
      </c>
      <c r="C69" s="1" t="s">
        <v>746</v>
      </c>
      <c r="D69" s="55">
        <v>67.340277777777771</v>
      </c>
      <c r="E69" s="55">
        <v>3.6211111111111114</v>
      </c>
      <c r="I69" s="9">
        <v>265.88499999999999</v>
      </c>
      <c r="J69" s="1" t="s">
        <v>256</v>
      </c>
      <c r="K69" s="1" t="s">
        <v>52</v>
      </c>
      <c r="L69" s="1" t="s">
        <v>864</v>
      </c>
      <c r="M69" s="78" t="s">
        <v>862</v>
      </c>
      <c r="N69" s="78"/>
      <c r="P69" s="1" t="s">
        <v>815</v>
      </c>
      <c r="Q69" s="1" t="s">
        <v>286</v>
      </c>
      <c r="R69" s="4">
        <v>48.963999999999999</v>
      </c>
      <c r="S69" s="4">
        <v>1.837</v>
      </c>
      <c r="T69" s="4">
        <v>15.794</v>
      </c>
      <c r="U69" s="4">
        <v>13.375</v>
      </c>
      <c r="W69" s="4">
        <v>0.224</v>
      </c>
      <c r="X69" s="4">
        <v>6.6820000000000004</v>
      </c>
      <c r="Y69" s="4">
        <v>10.59</v>
      </c>
      <c r="Z69" s="4">
        <v>2.653</v>
      </c>
      <c r="AA69" s="4">
        <v>0.16300000000000001</v>
      </c>
      <c r="AB69" s="4">
        <v>0.16600000000000001</v>
      </c>
      <c r="AC69" s="9">
        <v>3.5742229177039708</v>
      </c>
      <c r="AD69" s="21">
        <f t="shared" si="64"/>
        <v>100.44800000000001</v>
      </c>
      <c r="AE69" s="21">
        <f t="shared" si="65"/>
        <v>12.024125</v>
      </c>
      <c r="AF69" s="23">
        <f t="shared" si="66"/>
        <v>0.49766199915074411</v>
      </c>
      <c r="AH69" s="16">
        <f t="shared" si="67"/>
        <v>48.745619624084092</v>
      </c>
      <c r="AI69" s="16">
        <f t="shared" si="68"/>
        <v>1.8288069448869064</v>
      </c>
      <c r="AJ69" s="16">
        <f t="shared" si="69"/>
        <v>15.723558458107677</v>
      </c>
      <c r="AK69" s="16">
        <f t="shared" si="70"/>
        <v>13.315347244345332</v>
      </c>
      <c r="AL69" s="16">
        <f t="shared" si="71"/>
        <v>0</v>
      </c>
      <c r="AM69" s="16">
        <f t="shared" si="72"/>
        <v>0.22300095571838166</v>
      </c>
      <c r="AN69" s="16">
        <f t="shared" si="73"/>
        <v>6.6521981522777951</v>
      </c>
      <c r="AO69" s="16">
        <f t="shared" si="74"/>
        <v>10.542768397578845</v>
      </c>
      <c r="AP69" s="16">
        <f t="shared" si="75"/>
        <v>2.6411675692895824</v>
      </c>
      <c r="AQ69" s="16">
        <f t="shared" si="76"/>
        <v>0.16227301688435808</v>
      </c>
      <c r="AR69" s="16">
        <f t="shared" si="77"/>
        <v>0.16525963682701497</v>
      </c>
      <c r="AS69" s="16">
        <f t="shared" si="78"/>
        <v>99.999999999999972</v>
      </c>
      <c r="AT69" s="16">
        <f t="shared" si="79"/>
        <v>11.970497172666454</v>
      </c>
      <c r="AV69" s="1" t="s">
        <v>400</v>
      </c>
      <c r="AW69" s="69">
        <v>10.585224852620184</v>
      </c>
      <c r="AX69" s="69"/>
      <c r="AY69" s="69">
        <v>40.911803907826339</v>
      </c>
      <c r="AZ69" s="69">
        <v>308.50243643548356</v>
      </c>
      <c r="BA69" s="69"/>
      <c r="BB69" s="69">
        <v>199.31600552621731</v>
      </c>
      <c r="BC69" s="69"/>
      <c r="BD69" s="69">
        <v>48.517691968830889</v>
      </c>
      <c r="BE69" s="69"/>
      <c r="BF69" s="69"/>
      <c r="BG69" s="69"/>
      <c r="BH69" s="69">
        <v>126.21383486659319</v>
      </c>
      <c r="BI69" s="69"/>
      <c r="BJ69" s="69">
        <v>223.44206926058416</v>
      </c>
      <c r="BK69" s="69"/>
      <c r="BL69" s="69">
        <v>19.77942055268197</v>
      </c>
      <c r="BM69" s="69"/>
      <c r="BN69" s="69">
        <v>1.0003346526366044</v>
      </c>
      <c r="BP69" s="69">
        <v>189.08478599509473</v>
      </c>
      <c r="BQ69" s="69"/>
      <c r="BR69" s="69">
        <v>28.697161867266168</v>
      </c>
      <c r="BS69" s="69"/>
      <c r="BT69" s="69">
        <v>109.74167791731693</v>
      </c>
      <c r="BV69" s="9">
        <v>8.7421013498587303</v>
      </c>
      <c r="BZ69" s="9">
        <v>1.1401665822633175E-2</v>
      </c>
      <c r="CA69" s="9">
        <v>32.797951254921898</v>
      </c>
      <c r="CB69" s="9">
        <v>7.4883108748681675</v>
      </c>
      <c r="CC69" s="9">
        <v>18.971583209104388</v>
      </c>
      <c r="CD69" s="9">
        <v>2.774262349624625</v>
      </c>
      <c r="CE69" s="9">
        <v>13.233012459718926</v>
      </c>
      <c r="CF69" s="9">
        <v>4.1337535266567764</v>
      </c>
      <c r="CG69" s="9">
        <v>1.298480191536453</v>
      </c>
      <c r="CH69" s="9">
        <v>4.8953790135702659</v>
      </c>
      <c r="CI69" s="9">
        <v>0.74338776841622756</v>
      </c>
      <c r="CJ69" s="9">
        <v>4.9614249964603649</v>
      </c>
      <c r="CK69" s="9">
        <v>0.96630543787793233</v>
      </c>
      <c r="CL69" s="9">
        <v>2.7471335978906084</v>
      </c>
      <c r="CM69" s="9">
        <v>0.4007093782814285</v>
      </c>
      <c r="CN69" s="9">
        <v>2.3935062803929146</v>
      </c>
      <c r="CO69" s="9">
        <v>0.33594118280705909</v>
      </c>
      <c r="CP69" s="9">
        <v>2.5494254174384703</v>
      </c>
      <c r="CQ69" s="9">
        <v>0.4666920221195805</v>
      </c>
      <c r="CR69" s="9">
        <v>0.8321751346516395</v>
      </c>
      <c r="CS69" s="9">
        <v>0.67966645254161517</v>
      </c>
      <c r="CT69" s="9">
        <v>0.15994681983456027</v>
      </c>
    </row>
    <row r="70" spans="1:98">
      <c r="A70" s="1" t="s">
        <v>271</v>
      </c>
      <c r="B70" s="1" t="s">
        <v>265</v>
      </c>
      <c r="C70" s="1" t="s">
        <v>747</v>
      </c>
      <c r="D70" s="55">
        <v>67.340277777777771</v>
      </c>
      <c r="E70" s="55">
        <v>3.6211111111111114</v>
      </c>
      <c r="I70" s="9">
        <v>273.06</v>
      </c>
      <c r="J70" s="1" t="s">
        <v>256</v>
      </c>
      <c r="K70" s="1" t="s">
        <v>52</v>
      </c>
      <c r="L70" s="1" t="s">
        <v>864</v>
      </c>
      <c r="M70" s="78" t="s">
        <v>862</v>
      </c>
      <c r="N70" s="78"/>
      <c r="P70" s="1" t="s">
        <v>815</v>
      </c>
      <c r="Q70" s="1" t="s">
        <v>286</v>
      </c>
      <c r="R70" s="4">
        <v>49.62</v>
      </c>
      <c r="S70" s="4">
        <v>1.7290000000000001</v>
      </c>
      <c r="T70" s="4">
        <v>14.475</v>
      </c>
      <c r="U70" s="4">
        <v>12.717000000000001</v>
      </c>
      <c r="W70" s="4">
        <v>0.33400000000000002</v>
      </c>
      <c r="X70" s="4">
        <v>6.7640000000000002</v>
      </c>
      <c r="Y70" s="4">
        <v>9.3190000000000008</v>
      </c>
      <c r="Z70" s="4">
        <v>2.625</v>
      </c>
      <c r="AA70" s="4">
        <v>0.14000000000000001</v>
      </c>
      <c r="AB70" s="4">
        <v>0.216</v>
      </c>
      <c r="AC70" s="9">
        <v>3.5090576022796589</v>
      </c>
      <c r="AD70" s="21">
        <f t="shared" si="64"/>
        <v>97.938999999999993</v>
      </c>
      <c r="AE70" s="21">
        <f t="shared" si="65"/>
        <v>11.432583000000001</v>
      </c>
      <c r="AF70" s="23">
        <f t="shared" si="66"/>
        <v>0.51332000445428838</v>
      </c>
      <c r="AH70" s="16">
        <f t="shared" si="67"/>
        <v>50.664188933928266</v>
      </c>
      <c r="AI70" s="16">
        <f t="shared" si="68"/>
        <v>1.7653845761137037</v>
      </c>
      <c r="AJ70" s="16">
        <f t="shared" si="69"/>
        <v>14.77960771500628</v>
      </c>
      <c r="AK70" s="16">
        <f t="shared" si="70"/>
        <v>12.984612871277021</v>
      </c>
      <c r="AL70" s="16">
        <f t="shared" si="71"/>
        <v>0</v>
      </c>
      <c r="AM70" s="16">
        <f t="shared" si="72"/>
        <v>0.34102859943434177</v>
      </c>
      <c r="AN70" s="16">
        <f t="shared" si="73"/>
        <v>6.906339660400862</v>
      </c>
      <c r="AO70" s="16">
        <f t="shared" si="74"/>
        <v>9.5151063417024897</v>
      </c>
      <c r="AP70" s="16">
        <f t="shared" si="75"/>
        <v>2.680239741063315</v>
      </c>
      <c r="AQ70" s="16">
        <f t="shared" si="76"/>
        <v>0.14294611952337682</v>
      </c>
      <c r="AR70" s="16">
        <f t="shared" si="77"/>
        <v>0.2205454415503528</v>
      </c>
      <c r="AS70" s="16">
        <f t="shared" si="78"/>
        <v>100.00000000000001</v>
      </c>
      <c r="AT70" s="16">
        <f t="shared" si="79"/>
        <v>11.673166971278041</v>
      </c>
      <c r="AV70" s="1" t="s">
        <v>400</v>
      </c>
      <c r="AW70" s="69">
        <v>14.653275191018329</v>
      </c>
      <c r="AX70" s="69"/>
      <c r="AY70" s="69">
        <v>38.043259614828187</v>
      </c>
      <c r="AZ70" s="69">
        <v>304.16289307060083</v>
      </c>
      <c r="BA70" s="69"/>
      <c r="BB70" s="69">
        <v>184.67307989974583</v>
      </c>
      <c r="BC70" s="69"/>
      <c r="BD70" s="69">
        <v>48.385234843110638</v>
      </c>
      <c r="BE70" s="69"/>
      <c r="BF70" s="69"/>
      <c r="BG70" s="69"/>
      <c r="BH70" s="69">
        <v>62.481497749607662</v>
      </c>
      <c r="BI70" s="69"/>
      <c r="BJ70" s="69">
        <v>87.344041393038822</v>
      </c>
      <c r="BK70" s="69"/>
      <c r="BL70" s="69">
        <v>20.222277822760606</v>
      </c>
      <c r="BM70" s="69"/>
      <c r="BN70" s="69">
        <v>0.72847302796378144</v>
      </c>
      <c r="BP70" s="69">
        <v>184.49317918168612</v>
      </c>
      <c r="BQ70" s="69"/>
      <c r="BR70" s="69">
        <v>28.782650530854522</v>
      </c>
      <c r="BS70" s="69"/>
      <c r="BT70" s="69">
        <v>108.67520859703072</v>
      </c>
      <c r="BV70" s="9">
        <v>8.3498939299102624</v>
      </c>
      <c r="BZ70" s="9">
        <v>7.8877826768369748E-3</v>
      </c>
      <c r="CA70" s="9">
        <v>30.680821728328919</v>
      </c>
      <c r="CB70" s="9">
        <v>7.5030944440196183</v>
      </c>
      <c r="CC70" s="9">
        <v>18.919137327092834</v>
      </c>
      <c r="CD70" s="9">
        <v>2.8353901703336915</v>
      </c>
      <c r="CE70" s="9">
        <v>13.414385731193498</v>
      </c>
      <c r="CF70" s="9">
        <v>3.9365449476753307</v>
      </c>
      <c r="CG70" s="9">
        <v>1.3261032312143146</v>
      </c>
      <c r="CH70" s="9">
        <v>4.7678297169506196</v>
      </c>
      <c r="CI70" s="9">
        <v>0.78034098004700925</v>
      </c>
      <c r="CJ70" s="9">
        <v>5.0106182721678936</v>
      </c>
      <c r="CK70" s="9">
        <v>0.98040472482953023</v>
      </c>
      <c r="CL70" s="9">
        <v>2.8513067330162758</v>
      </c>
      <c r="CM70" s="9">
        <v>0.42351002055508286</v>
      </c>
      <c r="CN70" s="9">
        <v>2.2914273249812949</v>
      </c>
      <c r="CO70" s="9">
        <v>0.34869477085701384</v>
      </c>
      <c r="CP70" s="9">
        <v>2.6278603753318706</v>
      </c>
      <c r="CQ70" s="9">
        <v>0.49939014932172443</v>
      </c>
      <c r="CR70" s="9">
        <v>0.71120084919887094</v>
      </c>
      <c r="CS70" s="9">
        <v>0.6150352559632033</v>
      </c>
      <c r="CT70" s="9">
        <v>0.15353019081805902</v>
      </c>
    </row>
    <row r="71" spans="1:98">
      <c r="A71" s="1" t="s">
        <v>271</v>
      </c>
      <c r="B71" s="1" t="s">
        <v>265</v>
      </c>
      <c r="C71" s="1" t="s">
        <v>748</v>
      </c>
      <c r="D71" s="55">
        <v>67.340277777777771</v>
      </c>
      <c r="E71" s="55">
        <v>3.6211111111111114</v>
      </c>
      <c r="I71" s="9">
        <v>286.60000000000002</v>
      </c>
      <c r="J71" s="1" t="s">
        <v>256</v>
      </c>
      <c r="K71" s="1" t="s">
        <v>52</v>
      </c>
      <c r="L71" s="1" t="s">
        <v>864</v>
      </c>
      <c r="M71" s="78" t="s">
        <v>862</v>
      </c>
      <c r="N71" s="78"/>
      <c r="P71" s="1" t="s">
        <v>815</v>
      </c>
      <c r="Q71" s="1" t="s">
        <v>286</v>
      </c>
      <c r="R71" s="4">
        <v>49.478999999999999</v>
      </c>
      <c r="S71" s="4">
        <v>2.0270000000000001</v>
      </c>
      <c r="T71" s="4">
        <v>12.82</v>
      </c>
      <c r="U71" s="4">
        <v>13.641999999999999</v>
      </c>
      <c r="W71" s="4">
        <v>0.29599999999999999</v>
      </c>
      <c r="X71" s="4">
        <v>7.1660000000000004</v>
      </c>
      <c r="Y71" s="4">
        <v>9.4740000000000002</v>
      </c>
      <c r="Z71" s="4">
        <v>2.83</v>
      </c>
      <c r="AA71" s="4">
        <v>0.17499999999999999</v>
      </c>
      <c r="AB71" s="4">
        <v>0.2</v>
      </c>
      <c r="AC71" s="9">
        <v>2.6069592870613145</v>
      </c>
      <c r="AD71" s="21">
        <f t="shared" si="64"/>
        <v>98.108999999999995</v>
      </c>
      <c r="AE71" s="21">
        <f t="shared" si="65"/>
        <v>12.264158</v>
      </c>
      <c r="AF71" s="23">
        <f t="shared" si="66"/>
        <v>0.51020164075421093</v>
      </c>
      <c r="AH71" s="16">
        <f t="shared" si="67"/>
        <v>50.43268201694034</v>
      </c>
      <c r="AI71" s="16">
        <f t="shared" si="68"/>
        <v>2.066069371821138</v>
      </c>
      <c r="AJ71" s="16">
        <f t="shared" si="69"/>
        <v>13.067098839046368</v>
      </c>
      <c r="AK71" s="16">
        <f t="shared" si="70"/>
        <v>13.904942461955581</v>
      </c>
      <c r="AL71" s="16">
        <f t="shared" si="71"/>
        <v>0</v>
      </c>
      <c r="AM71" s="16">
        <f t="shared" si="72"/>
        <v>0.30170524620575073</v>
      </c>
      <c r="AN71" s="16">
        <f t="shared" si="73"/>
        <v>7.3041209267243579</v>
      </c>
      <c r="AO71" s="16">
        <f t="shared" si="74"/>
        <v>9.6566064275448742</v>
      </c>
      <c r="AP71" s="16">
        <f t="shared" si="75"/>
        <v>2.8845467796022795</v>
      </c>
      <c r="AQ71" s="16">
        <f t="shared" si="76"/>
        <v>0.1783730340743459</v>
      </c>
      <c r="AR71" s="16">
        <f t="shared" si="77"/>
        <v>0.20385489608496674</v>
      </c>
      <c r="AS71" s="16">
        <f t="shared" si="78"/>
        <v>99.999999999999986</v>
      </c>
      <c r="AT71" s="16">
        <f t="shared" si="79"/>
        <v>12.500543273298067</v>
      </c>
      <c r="AV71" s="1" t="s">
        <v>400</v>
      </c>
      <c r="AW71" s="69">
        <v>11.027223305066853</v>
      </c>
      <c r="AX71" s="69"/>
      <c r="AY71" s="69">
        <v>44.944626270893671</v>
      </c>
      <c r="AZ71" s="69">
        <v>366.52119198781656</v>
      </c>
      <c r="BA71" s="69"/>
      <c r="BB71" s="69">
        <v>162.78330953683593</v>
      </c>
      <c r="BC71" s="69"/>
      <c r="BD71" s="69">
        <v>51.918870573902005</v>
      </c>
      <c r="BE71" s="69"/>
      <c r="BF71" s="69"/>
      <c r="BG71" s="69"/>
      <c r="BH71" s="69">
        <v>79.475267664619125</v>
      </c>
      <c r="BI71" s="69"/>
      <c r="BJ71" s="69">
        <v>110.44561066432382</v>
      </c>
      <c r="BK71" s="69"/>
      <c r="BL71" s="69">
        <v>19.707994736521325</v>
      </c>
      <c r="BM71" s="69"/>
      <c r="BN71" s="69">
        <v>0.90375560361161222</v>
      </c>
      <c r="BP71" s="69">
        <v>181.71856232699781</v>
      </c>
      <c r="BQ71" s="69"/>
      <c r="BR71" s="69">
        <v>29.772998347406286</v>
      </c>
      <c r="BS71" s="69"/>
      <c r="BT71" s="69">
        <v>120.66224229968758</v>
      </c>
      <c r="BV71" s="9">
        <v>8.8406642945022149</v>
      </c>
      <c r="BZ71" s="9">
        <v>1.784848658283306E-2</v>
      </c>
      <c r="CA71" s="9">
        <v>80.586239922379974</v>
      </c>
      <c r="CB71" s="9">
        <v>7.4588760910490288</v>
      </c>
      <c r="CC71" s="9">
        <v>19.303721625878477</v>
      </c>
      <c r="CD71" s="9">
        <v>2.8714916974301805</v>
      </c>
      <c r="CE71" s="9">
        <v>14.016184114037181</v>
      </c>
      <c r="CF71" s="9">
        <v>3.9957415572961863</v>
      </c>
      <c r="CG71" s="9">
        <v>1.5116556352272585</v>
      </c>
      <c r="CH71" s="9">
        <v>5.0109083547578344</v>
      </c>
      <c r="CI71" s="9">
        <v>0.82816553549138372</v>
      </c>
      <c r="CJ71" s="9">
        <v>5.3256130320031083</v>
      </c>
      <c r="CK71" s="9">
        <v>1.0436095385100894</v>
      </c>
      <c r="CL71" s="9">
        <v>2.9650555302735362</v>
      </c>
      <c r="CM71" s="9">
        <v>0.4383958852014751</v>
      </c>
      <c r="CN71" s="9">
        <v>2.5353666936715027</v>
      </c>
      <c r="CO71" s="9">
        <v>0.36751067694796108</v>
      </c>
      <c r="CP71" s="9">
        <v>2.8461680196652877</v>
      </c>
      <c r="CQ71" s="9">
        <v>0.48064031431514298</v>
      </c>
      <c r="CR71" s="9">
        <v>0.66937578067025305</v>
      </c>
      <c r="CS71" s="9">
        <v>0.65817670779561455</v>
      </c>
      <c r="CT71" s="9">
        <v>0.13458423041292952</v>
      </c>
    </row>
    <row r="72" spans="1:98">
      <c r="A72" s="1" t="s">
        <v>271</v>
      </c>
      <c r="B72" s="1" t="s">
        <v>265</v>
      </c>
      <c r="C72" s="1" t="s">
        <v>749</v>
      </c>
      <c r="D72" s="55">
        <v>67.340277777777771</v>
      </c>
      <c r="E72" s="55">
        <v>3.6211111111111114</v>
      </c>
      <c r="I72" s="9">
        <v>294.73500000000001</v>
      </c>
      <c r="J72" s="1" t="s">
        <v>256</v>
      </c>
      <c r="K72" s="1" t="s">
        <v>52</v>
      </c>
      <c r="L72" s="1" t="s">
        <v>864</v>
      </c>
      <c r="M72" s="78" t="s">
        <v>862</v>
      </c>
      <c r="N72" s="78"/>
      <c r="P72" s="1" t="s">
        <v>815</v>
      </c>
      <c r="Q72" s="1" t="s">
        <v>286</v>
      </c>
      <c r="R72" s="4">
        <v>50.533000000000001</v>
      </c>
      <c r="S72" s="4">
        <v>1.5920000000000001</v>
      </c>
      <c r="T72" s="4">
        <v>13.888</v>
      </c>
      <c r="U72" s="4">
        <v>11.965</v>
      </c>
      <c r="W72" s="4">
        <v>0.34699999999999998</v>
      </c>
      <c r="X72" s="4">
        <v>7.0730000000000004</v>
      </c>
      <c r="Y72" s="4">
        <v>9.8689999999999998</v>
      </c>
      <c r="Z72" s="4">
        <v>2.6850000000000001</v>
      </c>
      <c r="AA72" s="4">
        <v>0.246</v>
      </c>
      <c r="AB72" s="4">
        <v>0.19800000000000001</v>
      </c>
      <c r="AC72" s="9">
        <v>3.5474399710413267</v>
      </c>
      <c r="AD72" s="21">
        <f t="shared" si="64"/>
        <v>98.395999999999987</v>
      </c>
      <c r="AE72" s="21">
        <f t="shared" si="65"/>
        <v>10.756535</v>
      </c>
      <c r="AF72" s="23">
        <f t="shared" si="66"/>
        <v>0.53964581707918402</v>
      </c>
      <c r="AH72" s="16">
        <f t="shared" si="67"/>
        <v>51.356762470019113</v>
      </c>
      <c r="AI72" s="16">
        <f t="shared" si="68"/>
        <v>1.6179519492662306</v>
      </c>
      <c r="AJ72" s="16">
        <f t="shared" si="69"/>
        <v>14.114394894101387</v>
      </c>
      <c r="AK72" s="16">
        <f t="shared" si="70"/>
        <v>12.160047156388472</v>
      </c>
      <c r="AL72" s="16">
        <f t="shared" si="71"/>
        <v>0</v>
      </c>
      <c r="AM72" s="16">
        <f t="shared" si="72"/>
        <v>0.35265661205740073</v>
      </c>
      <c r="AN72" s="16">
        <f t="shared" si="73"/>
        <v>7.188300337412092</v>
      </c>
      <c r="AO72" s="16">
        <f t="shared" si="74"/>
        <v>10.029879263384691</v>
      </c>
      <c r="AP72" s="16">
        <f t="shared" si="75"/>
        <v>2.7287694621732594</v>
      </c>
      <c r="AQ72" s="16">
        <f t="shared" si="76"/>
        <v>0.25001016301475676</v>
      </c>
      <c r="AR72" s="16">
        <f t="shared" si="77"/>
        <v>0.20122769218260908</v>
      </c>
      <c r="AS72" s="16">
        <f t="shared" si="78"/>
        <v>100</v>
      </c>
      <c r="AT72" s="16">
        <f t="shared" si="79"/>
        <v>10.931882393593236</v>
      </c>
      <c r="AV72" s="1" t="s">
        <v>400</v>
      </c>
      <c r="AW72" s="69">
        <v>7.7411648890206433</v>
      </c>
      <c r="AX72" s="69"/>
      <c r="AY72" s="69">
        <v>42.736498317527776</v>
      </c>
      <c r="AZ72" s="69">
        <v>315.5526734583641</v>
      </c>
      <c r="BA72" s="69"/>
      <c r="BB72" s="69">
        <v>305.64072035882214</v>
      </c>
      <c r="BC72" s="69"/>
      <c r="BD72" s="69">
        <v>53.515780661581076</v>
      </c>
      <c r="BE72" s="69"/>
      <c r="BF72" s="69"/>
      <c r="BG72" s="69"/>
      <c r="BH72" s="69">
        <v>61.07148380259995</v>
      </c>
      <c r="BI72" s="69"/>
      <c r="BJ72" s="69">
        <v>90.164751706946632</v>
      </c>
      <c r="BK72" s="69"/>
      <c r="BL72" s="69">
        <v>18.741665223408535</v>
      </c>
      <c r="BM72" s="69"/>
      <c r="BN72" s="69">
        <v>2.5323118451884148</v>
      </c>
      <c r="BP72" s="69">
        <v>184.80612368506516</v>
      </c>
      <c r="BQ72" s="69"/>
      <c r="BR72" s="69">
        <v>25.642239590502431</v>
      </c>
      <c r="BS72" s="69"/>
      <c r="BT72" s="69">
        <v>97.35801548214161</v>
      </c>
      <c r="BV72" s="9">
        <v>7.1098339135732109</v>
      </c>
      <c r="BZ72" s="9">
        <v>2.875506542660624E-2</v>
      </c>
      <c r="CA72" s="9">
        <v>50.158072420244395</v>
      </c>
      <c r="CB72" s="9">
        <v>6.4411173530985044</v>
      </c>
      <c r="CC72" s="9">
        <v>16.459837523599234</v>
      </c>
      <c r="CD72" s="9">
        <v>2.50225735742938</v>
      </c>
      <c r="CE72" s="9">
        <v>12.175181703173495</v>
      </c>
      <c r="CF72" s="9">
        <v>3.5772498938487911</v>
      </c>
      <c r="CG72" s="9">
        <v>1.3163774570134179</v>
      </c>
      <c r="CH72" s="9">
        <v>4.4203238337540949</v>
      </c>
      <c r="CI72" s="9">
        <v>0.68497616393063609</v>
      </c>
      <c r="CJ72" s="9">
        <v>4.5045278335200738</v>
      </c>
      <c r="CK72" s="9">
        <v>0.90140291339479495</v>
      </c>
      <c r="CL72" s="9">
        <v>2.6943888724080942</v>
      </c>
      <c r="CM72" s="9">
        <v>0.34903891786025548</v>
      </c>
      <c r="CN72" s="9">
        <v>2.052894695749425</v>
      </c>
      <c r="CO72" s="9">
        <v>0.31526739374553076</v>
      </c>
      <c r="CP72" s="9">
        <v>2.4053390564169002</v>
      </c>
      <c r="CQ72" s="9">
        <v>0.43402697895618902</v>
      </c>
      <c r="CR72" s="9">
        <v>0.54340408210070812</v>
      </c>
      <c r="CS72" s="9">
        <v>0.52662766765140834</v>
      </c>
      <c r="CT72" s="9">
        <v>0.12942971670306447</v>
      </c>
    </row>
    <row r="73" spans="1:98">
      <c r="A73" s="1" t="s">
        <v>271</v>
      </c>
      <c r="B73" s="1" t="s">
        <v>265</v>
      </c>
      <c r="C73" s="1" t="s">
        <v>750</v>
      </c>
      <c r="D73" s="55">
        <v>67.340277777777771</v>
      </c>
      <c r="E73" s="55">
        <v>3.6211111111111114</v>
      </c>
      <c r="I73" s="9">
        <v>308.38</v>
      </c>
      <c r="J73" s="1" t="s">
        <v>256</v>
      </c>
      <c r="K73" s="1" t="s">
        <v>52</v>
      </c>
      <c r="L73" s="1" t="s">
        <v>864</v>
      </c>
      <c r="M73" s="78" t="s">
        <v>862</v>
      </c>
      <c r="N73" s="78"/>
      <c r="P73" s="1" t="s">
        <v>815</v>
      </c>
      <c r="Q73" s="1" t="s">
        <v>286</v>
      </c>
      <c r="R73" s="4">
        <v>49.533999999999999</v>
      </c>
      <c r="S73" s="4">
        <v>1.833</v>
      </c>
      <c r="T73" s="4">
        <v>14.48</v>
      </c>
      <c r="U73" s="4">
        <v>12.37</v>
      </c>
      <c r="W73" s="4">
        <v>0.23599999999999999</v>
      </c>
      <c r="X73" s="4">
        <v>7.2969999999999997</v>
      </c>
      <c r="Y73" s="4">
        <v>10.41</v>
      </c>
      <c r="Z73" s="4">
        <v>2.629</v>
      </c>
      <c r="AA73" s="4">
        <v>0.17100000000000001</v>
      </c>
      <c r="AB73" s="4">
        <v>0.16400000000000001</v>
      </c>
      <c r="AC73" s="9">
        <v>2.4287856071963718</v>
      </c>
      <c r="AD73" s="21">
        <f t="shared" si="64"/>
        <v>99.124000000000009</v>
      </c>
      <c r="AE73" s="21">
        <f t="shared" si="65"/>
        <v>11.12063</v>
      </c>
      <c r="AF73" s="23">
        <f t="shared" si="66"/>
        <v>0.5391216201344371</v>
      </c>
      <c r="AH73" s="16">
        <f t="shared" si="67"/>
        <v>49.971752552358652</v>
      </c>
      <c r="AI73" s="16">
        <f t="shared" si="68"/>
        <v>1.8491989830918845</v>
      </c>
      <c r="AJ73" s="16">
        <f t="shared" si="69"/>
        <v>14.607965780234856</v>
      </c>
      <c r="AK73" s="16">
        <f t="shared" si="70"/>
        <v>12.479318832976876</v>
      </c>
      <c r="AL73" s="16">
        <f t="shared" si="71"/>
        <v>0</v>
      </c>
      <c r="AM73" s="16">
        <f t="shared" si="72"/>
        <v>0.23808563011984984</v>
      </c>
      <c r="AN73" s="16">
        <f t="shared" si="73"/>
        <v>7.3614866228158657</v>
      </c>
      <c r="AO73" s="16">
        <f t="shared" si="74"/>
        <v>10.501997498083208</v>
      </c>
      <c r="AP73" s="16">
        <f t="shared" si="75"/>
        <v>2.6522335660384968</v>
      </c>
      <c r="AQ73" s="16">
        <f t="shared" si="76"/>
        <v>0.17251119809531495</v>
      </c>
      <c r="AR73" s="16">
        <f t="shared" si="77"/>
        <v>0.16544933618498042</v>
      </c>
      <c r="AS73" s="16">
        <f t="shared" si="78"/>
        <v>99.999999999999986</v>
      </c>
      <c r="AT73" s="16">
        <f t="shared" si="79"/>
        <v>11.218907630846212</v>
      </c>
      <c r="AV73" s="1" t="s">
        <v>400</v>
      </c>
      <c r="AW73" s="69">
        <v>11.996949967676089</v>
      </c>
      <c r="AX73" s="69"/>
      <c r="AY73" s="69">
        <v>44.277261077795231</v>
      </c>
      <c r="AZ73" s="69">
        <v>334.92357550017505</v>
      </c>
      <c r="BA73" s="69"/>
      <c r="BB73" s="69">
        <v>265.62101171467333</v>
      </c>
      <c r="BC73" s="69"/>
      <c r="BD73" s="69">
        <v>49.098451771170538</v>
      </c>
      <c r="BE73" s="69"/>
      <c r="BF73" s="69"/>
      <c r="BG73" s="69"/>
      <c r="BH73" s="69">
        <v>127.20677617962345</v>
      </c>
      <c r="BI73" s="69"/>
      <c r="BJ73" s="69">
        <v>100.22824721364249</v>
      </c>
      <c r="BK73" s="69"/>
      <c r="BL73" s="69">
        <v>20.571995554470131</v>
      </c>
      <c r="BM73" s="69"/>
      <c r="BN73" s="69">
        <v>1.3764423265887473</v>
      </c>
      <c r="BP73" s="69">
        <v>191.0154833101281</v>
      </c>
      <c r="BQ73" s="69"/>
      <c r="BR73" s="69">
        <v>27.277167169129303</v>
      </c>
      <c r="BS73" s="69"/>
      <c r="BT73" s="69">
        <v>111.6106195031207</v>
      </c>
      <c r="BV73" s="9">
        <v>8.2463931998291109</v>
      </c>
      <c r="BZ73" s="9">
        <v>1.2247640149142968E-2</v>
      </c>
      <c r="CA73" s="9">
        <v>38.940213518090999</v>
      </c>
      <c r="CB73" s="9">
        <v>7.2000167283816809</v>
      </c>
      <c r="CC73" s="9">
        <v>18.400907796714034</v>
      </c>
      <c r="CD73" s="9">
        <v>2.7491900922521766</v>
      </c>
      <c r="CE73" s="9">
        <v>13.338496300564772</v>
      </c>
      <c r="CF73" s="9">
        <v>3.8218060700512115</v>
      </c>
      <c r="CG73" s="9">
        <v>1.4079175228509029</v>
      </c>
      <c r="CH73" s="9">
        <v>4.7983553653524105</v>
      </c>
      <c r="CI73" s="9">
        <v>0.77584212172215383</v>
      </c>
      <c r="CJ73" s="9">
        <v>4.9699595792847466</v>
      </c>
      <c r="CK73" s="9">
        <v>0.97256606201333096</v>
      </c>
      <c r="CL73" s="9">
        <v>2.8162957398812236</v>
      </c>
      <c r="CM73" s="9">
        <v>0.41059553062448068</v>
      </c>
      <c r="CN73" s="9">
        <v>2.4200369853297037</v>
      </c>
      <c r="CO73" s="9">
        <v>0.36273582929259207</v>
      </c>
      <c r="CP73" s="9">
        <v>2.5675785625096212</v>
      </c>
      <c r="CQ73" s="9">
        <v>0.4620911385310193</v>
      </c>
      <c r="CR73" s="9">
        <v>0.67108426148977673</v>
      </c>
      <c r="CS73" s="9">
        <v>0.64149975514695101</v>
      </c>
      <c r="CT73" s="9">
        <v>0.13830061098337845</v>
      </c>
    </row>
    <row r="74" spans="1:98">
      <c r="A74" s="1" t="s">
        <v>271</v>
      </c>
      <c r="B74" s="1" t="s">
        <v>265</v>
      </c>
      <c r="C74" s="1" t="s">
        <v>751</v>
      </c>
      <c r="D74" s="55">
        <v>67.340277777777771</v>
      </c>
      <c r="E74" s="55">
        <v>3.6211111111111114</v>
      </c>
      <c r="I74" s="9">
        <v>317.70999999999998</v>
      </c>
      <c r="J74" s="1" t="s">
        <v>256</v>
      </c>
      <c r="K74" s="1" t="s">
        <v>52</v>
      </c>
      <c r="L74" s="1" t="s">
        <v>864</v>
      </c>
      <c r="M74" s="78" t="s">
        <v>862</v>
      </c>
      <c r="N74" s="78"/>
      <c r="P74" s="1" t="s">
        <v>815</v>
      </c>
      <c r="Q74" s="1" t="s">
        <v>286</v>
      </c>
      <c r="R74" s="4">
        <v>49.738999999999997</v>
      </c>
      <c r="S74" s="4">
        <v>1.831</v>
      </c>
      <c r="T74" s="4">
        <v>14.016</v>
      </c>
      <c r="U74" s="4">
        <v>13.231</v>
      </c>
      <c r="W74" s="4">
        <v>0.249</v>
      </c>
      <c r="X74" s="4">
        <v>6.7389999999999999</v>
      </c>
      <c r="Y74" s="4">
        <v>10.515000000000001</v>
      </c>
      <c r="Z74" s="4">
        <v>2.5680000000000001</v>
      </c>
      <c r="AA74" s="4">
        <v>0.308</v>
      </c>
      <c r="AB74" s="4">
        <v>0.16900000000000001</v>
      </c>
      <c r="AC74" s="9">
        <v>2.4652267330091737</v>
      </c>
      <c r="AD74" s="21">
        <f t="shared" si="64"/>
        <v>99.364999999999995</v>
      </c>
      <c r="AE74" s="21">
        <f t="shared" si="65"/>
        <v>11.894669</v>
      </c>
      <c r="AF74" s="23">
        <f t="shared" si="66"/>
        <v>0.50249169492152257</v>
      </c>
      <c r="AH74" s="16">
        <f t="shared" si="67"/>
        <v>50.056861067780403</v>
      </c>
      <c r="AI74" s="16">
        <f t="shared" si="68"/>
        <v>1.8427011523172143</v>
      </c>
      <c r="AJ74" s="16">
        <f t="shared" si="69"/>
        <v>14.105570371861319</v>
      </c>
      <c r="AK74" s="16">
        <f t="shared" si="70"/>
        <v>13.315553766416746</v>
      </c>
      <c r="AL74" s="16">
        <f t="shared" si="71"/>
        <v>0</v>
      </c>
      <c r="AM74" s="16">
        <f t="shared" si="72"/>
        <v>0.25059125446585817</v>
      </c>
      <c r="AN74" s="16">
        <f t="shared" si="73"/>
        <v>6.7820661198611178</v>
      </c>
      <c r="AO74" s="16">
        <f t="shared" si="74"/>
        <v>10.582196950636543</v>
      </c>
      <c r="AP74" s="16">
        <f t="shared" si="75"/>
        <v>2.5844110099129476</v>
      </c>
      <c r="AQ74" s="16">
        <f t="shared" si="76"/>
        <v>0.30996829869672421</v>
      </c>
      <c r="AR74" s="16">
        <f t="shared" si="77"/>
        <v>0.17008000805112466</v>
      </c>
      <c r="AS74" s="16">
        <f t="shared" si="78"/>
        <v>99.999999999999986</v>
      </c>
      <c r="AT74" s="16">
        <f t="shared" si="79"/>
        <v>11.970682836008656</v>
      </c>
      <c r="AV74" s="1" t="s">
        <v>400</v>
      </c>
      <c r="AW74" s="69">
        <v>7.399018108878999</v>
      </c>
      <c r="AX74" s="69"/>
      <c r="AY74" s="69">
        <v>46.786769001301664</v>
      </c>
      <c r="AZ74" s="69">
        <v>326.66240588025016</v>
      </c>
      <c r="BA74" s="69"/>
      <c r="BB74" s="69">
        <v>262.98801827438223</v>
      </c>
      <c r="BC74" s="69"/>
      <c r="BD74" s="69">
        <v>51.300987507595224</v>
      </c>
      <c r="BE74" s="69"/>
      <c r="BF74" s="69"/>
      <c r="BG74" s="69"/>
      <c r="BH74" s="69">
        <v>132.71074027846515</v>
      </c>
      <c r="BI74" s="69"/>
      <c r="BJ74" s="69">
        <v>98.169739698734418</v>
      </c>
      <c r="BK74" s="69"/>
      <c r="BL74" s="69">
        <v>18.583131320680849</v>
      </c>
      <c r="BM74" s="69"/>
      <c r="BN74" s="69">
        <v>4.118772479772435</v>
      </c>
      <c r="BP74" s="69">
        <v>177.71259617697331</v>
      </c>
      <c r="BQ74" s="69"/>
      <c r="BR74" s="69">
        <v>28.245486563785306</v>
      </c>
      <c r="BS74" s="69"/>
      <c r="BT74" s="69">
        <v>107.45736111238065</v>
      </c>
      <c r="BV74" s="9">
        <v>7.7339528695788253</v>
      </c>
      <c r="BZ74" s="9">
        <v>2.991360887785215E-2</v>
      </c>
      <c r="CA74" s="9">
        <v>39.605330050715054</v>
      </c>
      <c r="CB74" s="9">
        <v>6.9480228077550823</v>
      </c>
      <c r="CC74" s="9">
        <v>18.087533999910232</v>
      </c>
      <c r="CD74" s="9">
        <v>2.6807993263351184</v>
      </c>
      <c r="CE74" s="9">
        <v>13.145774145472615</v>
      </c>
      <c r="CF74" s="9">
        <v>4.0973063913872059</v>
      </c>
      <c r="CG74" s="9">
        <v>1.3473117534037877</v>
      </c>
      <c r="CH74" s="9">
        <v>4.7491280643666851</v>
      </c>
      <c r="CI74" s="9">
        <v>0.77845088792677697</v>
      </c>
      <c r="CJ74" s="9">
        <v>5.0704562958656547</v>
      </c>
      <c r="CK74" s="9">
        <v>0.94913297219180337</v>
      </c>
      <c r="CL74" s="9">
        <v>2.8692792334509076</v>
      </c>
      <c r="CM74" s="9">
        <v>0.40189127759739074</v>
      </c>
      <c r="CN74" s="9">
        <v>2.2919654831266465</v>
      </c>
      <c r="CO74" s="9">
        <v>0.3442863656374584</v>
      </c>
      <c r="CP74" s="9">
        <v>2.458782113239101</v>
      </c>
      <c r="CQ74" s="9">
        <v>0.47550745314792875</v>
      </c>
      <c r="CR74" s="9">
        <v>0.61608010050053486</v>
      </c>
      <c r="CS74" s="9">
        <v>0.62403753352676994</v>
      </c>
      <c r="CT74" s="9">
        <v>0.13357522792686435</v>
      </c>
    </row>
    <row r="75" spans="1:98">
      <c r="A75" s="1" t="s">
        <v>271</v>
      </c>
      <c r="B75" s="1" t="s">
        <v>267</v>
      </c>
      <c r="C75" s="1" t="s">
        <v>752</v>
      </c>
      <c r="D75" s="55">
        <v>67.340277777777771</v>
      </c>
      <c r="E75" s="55">
        <v>3.6211111111111114</v>
      </c>
      <c r="I75" s="9">
        <v>210.07</v>
      </c>
      <c r="J75" s="1" t="s">
        <v>256</v>
      </c>
      <c r="K75" s="1" t="s">
        <v>52</v>
      </c>
      <c r="L75" s="1" t="s">
        <v>864</v>
      </c>
      <c r="M75" s="78" t="s">
        <v>862</v>
      </c>
      <c r="N75" s="78"/>
      <c r="P75" s="1" t="s">
        <v>815</v>
      </c>
      <c r="Q75" s="1" t="s">
        <v>286</v>
      </c>
      <c r="R75" s="4">
        <v>49.393000000000001</v>
      </c>
      <c r="S75" s="4">
        <v>2.694</v>
      </c>
      <c r="T75" s="4">
        <v>14.696</v>
      </c>
      <c r="U75" s="4">
        <v>12.24</v>
      </c>
      <c r="W75" s="4">
        <v>0.22</v>
      </c>
      <c r="X75" s="4">
        <v>5.0469999999999997</v>
      </c>
      <c r="Y75" s="4">
        <v>10.571999999999999</v>
      </c>
      <c r="Z75" s="4">
        <v>2.839</v>
      </c>
      <c r="AA75" s="4">
        <v>0.40300000000000002</v>
      </c>
      <c r="AB75" s="4">
        <v>0.29199999999999998</v>
      </c>
      <c r="AC75" s="9">
        <v>2.3662515953226873</v>
      </c>
      <c r="AD75" s="21">
        <f t="shared" si="64"/>
        <v>98.396000000000001</v>
      </c>
      <c r="AE75" s="21">
        <f t="shared" si="65"/>
        <v>11.00376</v>
      </c>
      <c r="AF75" s="23">
        <f t="shared" si="66"/>
        <v>0.4498448973639288</v>
      </c>
      <c r="AH75" s="16">
        <f t="shared" si="67"/>
        <v>50.198178787755602</v>
      </c>
      <c r="AI75" s="16">
        <f t="shared" si="68"/>
        <v>2.7379161754542864</v>
      </c>
      <c r="AJ75" s="16">
        <f t="shared" si="69"/>
        <v>14.935566486442537</v>
      </c>
      <c r="AK75" s="16">
        <f t="shared" si="70"/>
        <v>12.439530062197651</v>
      </c>
      <c r="AL75" s="16">
        <f t="shared" si="71"/>
        <v>0</v>
      </c>
      <c r="AM75" s="16">
        <f t="shared" si="72"/>
        <v>0.22358632464734338</v>
      </c>
      <c r="AN75" s="16">
        <f t="shared" si="73"/>
        <v>5.1292735477051909</v>
      </c>
      <c r="AO75" s="16">
        <f t="shared" si="74"/>
        <v>10.744339200780518</v>
      </c>
      <c r="AP75" s="16">
        <f t="shared" si="75"/>
        <v>2.8852798894263993</v>
      </c>
      <c r="AQ75" s="16">
        <f t="shared" si="76"/>
        <v>0.40956949469490633</v>
      </c>
      <c r="AR75" s="16">
        <f t="shared" si="77"/>
        <v>0.29676003089556485</v>
      </c>
      <c r="AS75" s="16">
        <f t="shared" si="78"/>
        <v>100</v>
      </c>
      <c r="AT75" s="16">
        <f t="shared" si="79"/>
        <v>11.183137525915688</v>
      </c>
      <c r="AV75" s="1" t="s">
        <v>400</v>
      </c>
      <c r="AW75" s="69">
        <v>9.8718297688031473</v>
      </c>
      <c r="AX75" s="69"/>
      <c r="AY75" s="69">
        <v>47.006633250707587</v>
      </c>
      <c r="AZ75" s="69">
        <v>378.07191010986907</v>
      </c>
      <c r="BA75" s="69"/>
      <c r="BB75" s="69">
        <v>188.49614390036686</v>
      </c>
      <c r="BC75" s="69"/>
      <c r="BD75" s="69">
        <v>53.378462724688141</v>
      </c>
      <c r="BE75" s="69"/>
      <c r="BF75" s="69"/>
      <c r="BG75" s="69"/>
      <c r="BH75" s="69">
        <v>149.22989294807903</v>
      </c>
      <c r="BI75" s="69"/>
      <c r="BJ75" s="69">
        <v>122.84899206797985</v>
      </c>
      <c r="BK75" s="69"/>
      <c r="BL75" s="69">
        <v>22.89760212167657</v>
      </c>
      <c r="BM75" s="69"/>
      <c r="BN75" s="69">
        <v>4.1573971543564081</v>
      </c>
      <c r="BP75" s="69">
        <v>235.45984270008393</v>
      </c>
      <c r="BQ75" s="69"/>
      <c r="BR75" s="69">
        <v>35.761931674399392</v>
      </c>
      <c r="BS75" s="69"/>
      <c r="BT75" s="69">
        <v>187.92387051911948</v>
      </c>
      <c r="BV75" s="9">
        <v>16.198837071253401</v>
      </c>
      <c r="BZ75" s="9">
        <v>2.1956558145179036E-2</v>
      </c>
      <c r="CA75" s="9">
        <v>103.50382582899826</v>
      </c>
      <c r="CB75" s="9">
        <v>12.852862446838367</v>
      </c>
      <c r="CC75" s="9">
        <v>31.855991470430837</v>
      </c>
      <c r="CD75" s="9">
        <v>4.5798268386610221</v>
      </c>
      <c r="CE75" s="9">
        <v>21.479587448877737</v>
      </c>
      <c r="CF75" s="9">
        <v>5.8421929451990824</v>
      </c>
      <c r="CG75" s="9">
        <v>1.9889135219032441</v>
      </c>
      <c r="CH75" s="9">
        <v>6.7649249688330668</v>
      </c>
      <c r="CI75" s="9">
        <v>1.0543623981173325</v>
      </c>
      <c r="CJ75" s="9">
        <v>6.4152945131991794</v>
      </c>
      <c r="CK75" s="9">
        <v>1.2107073314732704</v>
      </c>
      <c r="CL75" s="9">
        <v>3.2693875086554849</v>
      </c>
      <c r="CM75" s="9">
        <v>0.4747867425060896</v>
      </c>
      <c r="CN75" s="9">
        <v>2.7610204316156355</v>
      </c>
      <c r="CO75" s="9">
        <v>0.4264679787801896</v>
      </c>
      <c r="CP75" s="9">
        <v>4.2460801681883762</v>
      </c>
      <c r="CQ75" s="9">
        <v>0.94335280105095531</v>
      </c>
      <c r="CR75" s="9">
        <v>1.6847503207296517</v>
      </c>
      <c r="CS75" s="9">
        <v>1.6142734458850188</v>
      </c>
      <c r="CT75" s="9">
        <v>0.35754098850701399</v>
      </c>
    </row>
    <row r="76" spans="1:98">
      <c r="A76" s="1" t="s">
        <v>271</v>
      </c>
      <c r="B76" s="1" t="s">
        <v>267</v>
      </c>
      <c r="C76" s="1" t="s">
        <v>753</v>
      </c>
      <c r="D76" s="55">
        <v>67.340277777777771</v>
      </c>
      <c r="E76" s="55">
        <v>3.6211111111111114</v>
      </c>
      <c r="I76" s="9">
        <v>216.62</v>
      </c>
      <c r="J76" s="1" t="s">
        <v>256</v>
      </c>
      <c r="K76" s="1" t="s">
        <v>52</v>
      </c>
      <c r="L76" s="1" t="s">
        <v>864</v>
      </c>
      <c r="M76" s="78" t="s">
        <v>862</v>
      </c>
      <c r="N76" s="78"/>
      <c r="P76" s="1" t="s">
        <v>815</v>
      </c>
      <c r="Q76" s="1" t="s">
        <v>286</v>
      </c>
      <c r="R76" s="4">
        <v>46.572000000000003</v>
      </c>
      <c r="S76" s="4">
        <v>3.165</v>
      </c>
      <c r="T76" s="4">
        <v>16.173999999999999</v>
      </c>
      <c r="U76" s="4">
        <v>17.86</v>
      </c>
      <c r="W76" s="4">
        <v>6.3E-2</v>
      </c>
      <c r="X76" s="4">
        <v>2.613</v>
      </c>
      <c r="Y76" s="4">
        <v>0.57399999999999995</v>
      </c>
      <c r="Z76" s="4">
        <v>1.8939999999999999</v>
      </c>
      <c r="AA76" s="4">
        <v>1.429</v>
      </c>
      <c r="AB76" s="4">
        <v>4.2999999999999997E-2</v>
      </c>
      <c r="AC76" s="9">
        <v>14.258999532491812</v>
      </c>
      <c r="AD76" s="21">
        <f t="shared" si="64"/>
        <v>90.387000000000015</v>
      </c>
      <c r="AE76" s="21">
        <f t="shared" si="65"/>
        <v>16.056139999999999</v>
      </c>
      <c r="AF76" s="23">
        <f t="shared" si="66"/>
        <v>0.22488073521134844</v>
      </c>
      <c r="AH76" s="16">
        <f t="shared" si="67"/>
        <v>51.525108699259846</v>
      </c>
      <c r="AI76" s="16">
        <f t="shared" si="68"/>
        <v>3.5016097447641803</v>
      </c>
      <c r="AJ76" s="16">
        <f t="shared" si="69"/>
        <v>17.894166196466301</v>
      </c>
      <c r="AK76" s="16">
        <f t="shared" si="70"/>
        <v>19.759478686094237</v>
      </c>
      <c r="AL76" s="16">
        <f t="shared" si="71"/>
        <v>0</v>
      </c>
      <c r="AM76" s="16">
        <f t="shared" si="72"/>
        <v>6.9700288758339127E-2</v>
      </c>
      <c r="AN76" s="16">
        <f t="shared" si="73"/>
        <v>2.8909024527863516</v>
      </c>
      <c r="AO76" s="16">
        <f t="shared" si="74"/>
        <v>0.63504707535375648</v>
      </c>
      <c r="AP76" s="16">
        <f t="shared" si="75"/>
        <v>2.0954340779094331</v>
      </c>
      <c r="AQ76" s="16">
        <f t="shared" si="76"/>
        <v>1.5809795656455019</v>
      </c>
      <c r="AR76" s="16">
        <f t="shared" si="77"/>
        <v>4.7573212962040992E-2</v>
      </c>
      <c r="AS76" s="16">
        <f t="shared" si="78"/>
        <v>99.999999999999986</v>
      </c>
      <c r="AT76" s="16">
        <f t="shared" si="79"/>
        <v>17.763771338798719</v>
      </c>
      <c r="AV76" s="1" t="s">
        <v>400</v>
      </c>
      <c r="AW76" s="69">
        <v>29.096389829659518</v>
      </c>
      <c r="AX76" s="69"/>
      <c r="AY76" s="69">
        <v>57.356708263640009</v>
      </c>
      <c r="AZ76" s="69">
        <v>208.08035496805368</v>
      </c>
      <c r="BA76" s="69"/>
      <c r="BB76" s="69">
        <v>268.39879625415097</v>
      </c>
      <c r="BC76" s="69"/>
      <c r="BD76" s="69">
        <v>56.793302656957991</v>
      </c>
      <c r="BE76" s="69"/>
      <c r="BF76" s="69"/>
      <c r="BG76" s="69"/>
      <c r="BH76" s="69">
        <v>126.18402531772391</v>
      </c>
      <c r="BI76" s="69"/>
      <c r="BJ76" s="69">
        <v>175.16426045645113</v>
      </c>
      <c r="BK76" s="69"/>
      <c r="BL76" s="69">
        <v>28.349634942325743</v>
      </c>
      <c r="BM76" s="69"/>
      <c r="BN76" s="69">
        <v>34.882784599908781</v>
      </c>
      <c r="BP76" s="69">
        <v>37.810938872507045</v>
      </c>
      <c r="BQ76" s="69"/>
      <c r="BR76" s="69">
        <v>22.398506687997966</v>
      </c>
      <c r="BS76" s="69"/>
      <c r="BT76" s="69">
        <v>198.81034679742888</v>
      </c>
      <c r="BV76" s="9">
        <v>16.837950173885602</v>
      </c>
      <c r="BZ76" s="9">
        <v>0.9298579332548309</v>
      </c>
      <c r="CA76" s="9">
        <v>20.596810776241014</v>
      </c>
      <c r="CB76" s="9">
        <v>9.6648215906448662</v>
      </c>
      <c r="CC76" s="9">
        <v>23.916583966509918</v>
      </c>
      <c r="CD76" s="9">
        <v>3.4070683275087914</v>
      </c>
      <c r="CE76" s="9">
        <v>15.875030080397179</v>
      </c>
      <c r="CF76" s="9">
        <v>4.2557444101221025</v>
      </c>
      <c r="CG76" s="9">
        <v>1.1996631422593977</v>
      </c>
      <c r="CH76" s="9">
        <v>4.7377915652239322</v>
      </c>
      <c r="CI76" s="9">
        <v>0.76112022072703989</v>
      </c>
      <c r="CJ76" s="9">
        <v>4.6445217654174442</v>
      </c>
      <c r="CK76" s="9">
        <v>0.80883853285056317</v>
      </c>
      <c r="CL76" s="9">
        <v>2.3013651805482063</v>
      </c>
      <c r="CM76" s="9">
        <v>0.33382668055760728</v>
      </c>
      <c r="CN76" s="9">
        <v>2.1496080407900218</v>
      </c>
      <c r="CO76" s="9">
        <v>0.28744012543672059</v>
      </c>
      <c r="CP76" s="9">
        <v>4.5669447390809399</v>
      </c>
      <c r="CQ76" s="9">
        <v>0.98329196489403314</v>
      </c>
      <c r="CR76" s="9">
        <v>2.8982080239036625</v>
      </c>
      <c r="CS76" s="9">
        <v>1.6896349246415781</v>
      </c>
      <c r="CT76" s="9">
        <v>0.30839866774588531</v>
      </c>
    </row>
    <row r="77" spans="1:98">
      <c r="A77" s="1" t="s">
        <v>271</v>
      </c>
      <c r="B77" s="1" t="s">
        <v>265</v>
      </c>
      <c r="C77" s="1" t="s">
        <v>790</v>
      </c>
      <c r="D77" s="55">
        <v>67.340277777777771</v>
      </c>
      <c r="E77" s="55">
        <v>3.6211111111111114</v>
      </c>
      <c r="I77" s="9">
        <v>209.63</v>
      </c>
      <c r="J77" s="1" t="s">
        <v>256</v>
      </c>
      <c r="K77" s="1" t="s">
        <v>52</v>
      </c>
      <c r="L77" s="1" t="s">
        <v>864</v>
      </c>
      <c r="M77" s="78" t="s">
        <v>862</v>
      </c>
      <c r="N77" s="78"/>
      <c r="P77" s="1" t="s">
        <v>262</v>
      </c>
      <c r="Q77" s="1" t="s">
        <v>269</v>
      </c>
      <c r="R77" s="4">
        <v>48.88</v>
      </c>
      <c r="S77" s="4">
        <v>2.7570000000000001</v>
      </c>
      <c r="T77" s="4">
        <v>16.239999999999998</v>
      </c>
      <c r="U77" s="4">
        <v>7.95</v>
      </c>
      <c r="W77" s="27">
        <v>0.189</v>
      </c>
      <c r="X77" s="4">
        <v>4.58</v>
      </c>
      <c r="Y77" s="4">
        <v>12.98</v>
      </c>
      <c r="Z77" s="4">
        <v>3.14</v>
      </c>
      <c r="AA77" s="4">
        <v>1.23</v>
      </c>
      <c r="AB77" s="4">
        <v>0.38500000000000001</v>
      </c>
      <c r="AC77" s="9">
        <v>1.03</v>
      </c>
      <c r="AD77" s="21">
        <f t="shared" ref="AD77:AD89" si="80">SUM(R77:AC77)</f>
        <v>99.361000000000004</v>
      </c>
      <c r="AE77" s="21">
        <f t="shared" ref="AE77:AE89" si="81">V77+0.899*U77</f>
        <v>7.1470500000000001</v>
      </c>
      <c r="AF77" s="23">
        <f t="shared" ref="AF77:AF89" si="82">(X77/40.3)/((X77/40.3)+(AE77/71.844))</f>
        <v>0.53323715001095462</v>
      </c>
      <c r="AH77" s="16">
        <f t="shared" ref="AH77:AH89" si="83">100*R77/SUM($R77:$AB77)</f>
        <v>49.709654127386074</v>
      </c>
      <c r="AI77" s="16">
        <f t="shared" ref="AI77:AI89" si="84">100*S77/SUM($R77:$AB77)</f>
        <v>2.8037953442963053</v>
      </c>
      <c r="AJ77" s="16">
        <f t="shared" ref="AJ77:AJ89" si="85">100*T77/SUM($R77:$AB77)</f>
        <v>16.515646133976059</v>
      </c>
      <c r="AK77" s="16">
        <f t="shared" ref="AK77:AK89" si="86">100*U77/SUM($R77:$AB77)</f>
        <v>8.0849376086890192</v>
      </c>
      <c r="AL77" s="16">
        <f t="shared" ref="AL77:AL89" si="87">100*V77/SUM($R77:$AB77)</f>
        <v>0</v>
      </c>
      <c r="AM77" s="16">
        <f t="shared" ref="AM77:AM89" si="88">100*W77/SUM($R77:$AB77)</f>
        <v>0.19220795069713517</v>
      </c>
      <c r="AN77" s="16">
        <f t="shared" ref="AN77:AN89" si="89">100*X77/SUM($R77:$AB77)</f>
        <v>4.6577376412321643</v>
      </c>
      <c r="AO77" s="16">
        <f t="shared" ref="AO77:AO89" si="90">100*Y77/SUM($R77:$AB77)</f>
        <v>13.200313227771506</v>
      </c>
      <c r="AP77" s="16">
        <f t="shared" ref="AP77:AP89" si="91">100*Z77/SUM($R77:$AB77)</f>
        <v>3.1932961121111347</v>
      </c>
      <c r="AQ77" s="16">
        <f t="shared" ref="AQ77:AQ89" si="92">100*AA77/SUM($R77:$AB77)</f>
        <v>1.2508771394575464</v>
      </c>
      <c r="AR77" s="16">
        <f t="shared" ref="AR77:AR89" si="93">100*AB77/SUM($R77:$AB77)</f>
        <v>0.39153471438305315</v>
      </c>
      <c r="AS77" s="16">
        <f t="shared" ref="AS77:AS89" si="94">SUM(AH77:AR77)</f>
        <v>100</v>
      </c>
      <c r="AT77" s="16">
        <f t="shared" ref="AT77:AT89" si="95">AL77+0.899*AK77</f>
        <v>7.2683589102114281</v>
      </c>
      <c r="AV77" s="1" t="s">
        <v>401</v>
      </c>
      <c r="AW77" s="69">
        <v>6.0408208504059679</v>
      </c>
      <c r="AX77" s="69">
        <v>0.7663249161352248</v>
      </c>
      <c r="AY77" s="69">
        <v>47.746889145337619</v>
      </c>
      <c r="AZ77" s="69">
        <v>429.49408216367158</v>
      </c>
      <c r="BA77" s="69"/>
      <c r="BB77" s="69">
        <v>248.44562512529944</v>
      </c>
      <c r="BC77" s="69"/>
      <c r="BD77" s="69">
        <v>26.859590879618985</v>
      </c>
      <c r="BE77" s="69"/>
      <c r="BF77" s="69">
        <v>41.527086605122513</v>
      </c>
      <c r="BG77" s="69"/>
      <c r="BH77" s="69">
        <v>2291.2903232938515</v>
      </c>
      <c r="BI77" s="69"/>
      <c r="BJ77" s="69">
        <v>157.23295668318849</v>
      </c>
      <c r="BK77" s="69"/>
      <c r="BL77" s="69">
        <v>24.119212849727568</v>
      </c>
      <c r="BM77" s="69"/>
      <c r="BN77" s="69">
        <v>9.4436278064135752</v>
      </c>
      <c r="BP77" s="69">
        <v>294.00790396039537</v>
      </c>
      <c r="BQ77" s="69"/>
      <c r="BR77" s="69">
        <v>45.432818525098241</v>
      </c>
      <c r="BS77" s="69"/>
      <c r="BT77" s="69">
        <v>181.91527145657099</v>
      </c>
      <c r="BV77" s="9">
        <v>15.627286488399587</v>
      </c>
      <c r="BZ77" s="9">
        <v>2.4713628658512374E-2</v>
      </c>
      <c r="CA77" s="9">
        <v>129.05773689611698</v>
      </c>
      <c r="CB77" s="9">
        <v>16.025986233356043</v>
      </c>
      <c r="CC77" s="9">
        <v>38.071784417862638</v>
      </c>
      <c r="CD77" s="9">
        <v>5.1622539204720166</v>
      </c>
      <c r="CE77" s="9">
        <v>22.955243485063161</v>
      </c>
      <c r="CF77" s="9">
        <v>6.6716712067898785</v>
      </c>
      <c r="CG77" s="9">
        <v>2.370641914499839</v>
      </c>
      <c r="CH77" s="9">
        <v>7.6835163174372481</v>
      </c>
      <c r="CI77" s="9">
        <v>1.3076167394600342</v>
      </c>
      <c r="CJ77" s="9">
        <v>7.8289169163925791</v>
      </c>
      <c r="CK77" s="9">
        <v>1.6444293109640864</v>
      </c>
      <c r="CL77" s="9">
        <v>4.5250396589725712</v>
      </c>
      <c r="CM77" s="9">
        <v>0.67028368625271351</v>
      </c>
      <c r="CN77" s="9">
        <v>3.9998601963706242</v>
      </c>
      <c r="CO77" s="9">
        <v>0.62269208121687547</v>
      </c>
      <c r="CP77" s="9">
        <v>5.1898352491787838</v>
      </c>
      <c r="CQ77" s="9">
        <v>1.10684700652802</v>
      </c>
      <c r="CR77" s="9">
        <v>1.5252656541862009</v>
      </c>
      <c r="CS77" s="9">
        <v>1.7614205461399424</v>
      </c>
      <c r="CT77" s="9">
        <v>0.47329915372810721</v>
      </c>
    </row>
    <row r="78" spans="1:98">
      <c r="A78" s="1" t="s">
        <v>271</v>
      </c>
      <c r="B78" s="1" t="s">
        <v>265</v>
      </c>
      <c r="C78" s="1" t="s">
        <v>791</v>
      </c>
      <c r="D78" s="55">
        <v>67.340277777777771</v>
      </c>
      <c r="E78" s="55">
        <v>3.6211111111111114</v>
      </c>
      <c r="I78" s="9">
        <v>214.01</v>
      </c>
      <c r="J78" s="1" t="s">
        <v>256</v>
      </c>
      <c r="K78" s="1" t="s">
        <v>52</v>
      </c>
      <c r="L78" s="1" t="s">
        <v>864</v>
      </c>
      <c r="M78" s="78" t="s">
        <v>862</v>
      </c>
      <c r="N78" s="78"/>
      <c r="P78" s="1" t="s">
        <v>262</v>
      </c>
      <c r="Q78" s="1" t="s">
        <v>269</v>
      </c>
      <c r="R78" s="4">
        <v>41.14</v>
      </c>
      <c r="S78" s="4">
        <v>2.6720000000000002</v>
      </c>
      <c r="T78" s="4">
        <v>14.31</v>
      </c>
      <c r="U78" s="4">
        <v>7.44</v>
      </c>
      <c r="W78" s="27">
        <v>0.73299999999999998</v>
      </c>
      <c r="X78" s="4">
        <v>3.76</v>
      </c>
      <c r="Y78" s="4">
        <v>18.68</v>
      </c>
      <c r="Z78" s="4">
        <v>2.61</v>
      </c>
      <c r="AA78" s="4">
        <v>0.67</v>
      </c>
      <c r="AB78" s="4">
        <v>0.31900000000000001</v>
      </c>
      <c r="AC78" s="9">
        <v>7.6</v>
      </c>
      <c r="AD78" s="21">
        <f t="shared" si="80"/>
        <v>99.934000000000012</v>
      </c>
      <c r="AE78" s="21">
        <f t="shared" si="81"/>
        <v>6.6885600000000007</v>
      </c>
      <c r="AF78" s="23">
        <f t="shared" si="82"/>
        <v>0.50054149624977207</v>
      </c>
      <c r="AH78" s="16">
        <f t="shared" si="83"/>
        <v>44.555634977364775</v>
      </c>
      <c r="AI78" s="16">
        <f t="shared" si="84"/>
        <v>2.8938419217189759</v>
      </c>
      <c r="AJ78" s="16">
        <f t="shared" si="85"/>
        <v>15.498083046331793</v>
      </c>
      <c r="AK78" s="16">
        <f t="shared" si="86"/>
        <v>8.0577035544869702</v>
      </c>
      <c r="AL78" s="16">
        <f t="shared" si="87"/>
        <v>0</v>
      </c>
      <c r="AM78" s="16">
        <f t="shared" si="88"/>
        <v>0.79385708406437483</v>
      </c>
      <c r="AN78" s="16">
        <f t="shared" si="89"/>
        <v>4.0721727640955656</v>
      </c>
      <c r="AO78" s="16">
        <f t="shared" si="90"/>
        <v>20.230900859921586</v>
      </c>
      <c r="AP78" s="16">
        <f t="shared" si="91"/>
        <v>2.8266943920982515</v>
      </c>
      <c r="AQ78" s="16">
        <f t="shared" si="92"/>
        <v>0.72562652977234809</v>
      </c>
      <c r="AR78" s="16">
        <f t="shared" si="93"/>
        <v>0.34548487014534185</v>
      </c>
      <c r="AS78" s="16">
        <f t="shared" si="94"/>
        <v>99.999999999999972</v>
      </c>
      <c r="AT78" s="16">
        <f t="shared" si="95"/>
        <v>7.2438754954837865</v>
      </c>
      <c r="AV78" s="1" t="s">
        <v>401</v>
      </c>
      <c r="AW78" s="69">
        <v>5.0169052151175535</v>
      </c>
      <c r="AX78" s="69">
        <v>0.77285003350835912</v>
      </c>
      <c r="AY78" s="69">
        <v>44.327376412341394</v>
      </c>
      <c r="AZ78" s="69">
        <v>416.32541970256261</v>
      </c>
      <c r="BA78" s="69"/>
      <c r="BB78" s="69">
        <v>235.09088065676283</v>
      </c>
      <c r="BC78" s="69"/>
      <c r="BD78" s="69">
        <v>102.16335783286317</v>
      </c>
      <c r="BE78" s="69"/>
      <c r="BF78" s="69">
        <v>145.42955388448237</v>
      </c>
      <c r="BG78" s="69"/>
      <c r="BH78" s="69">
        <v>205.60656082738996</v>
      </c>
      <c r="BI78" s="69"/>
      <c r="BJ78" s="69">
        <v>112.76943470769166</v>
      </c>
      <c r="BK78" s="69"/>
      <c r="BL78" s="69">
        <v>21.415385646946117</v>
      </c>
      <c r="BM78" s="69"/>
      <c r="BN78" s="69">
        <v>7.9684356131071761</v>
      </c>
      <c r="BP78" s="69">
        <v>294.21589252657861</v>
      </c>
      <c r="BQ78" s="69"/>
      <c r="BR78" s="69">
        <v>44.673677406389679</v>
      </c>
      <c r="BS78" s="69"/>
      <c r="BT78" s="69">
        <v>181.12201095799568</v>
      </c>
      <c r="BV78" s="9">
        <v>15.539541414127219</v>
      </c>
      <c r="BZ78" s="9">
        <v>3.6997973587644978E-2</v>
      </c>
      <c r="CA78" s="9">
        <v>118.26282680141047</v>
      </c>
      <c r="CB78" s="9">
        <v>15.233557378665289</v>
      </c>
      <c r="CC78" s="9">
        <v>35.982330976848061</v>
      </c>
      <c r="CD78" s="9">
        <v>4.8732233528090445</v>
      </c>
      <c r="CE78" s="9">
        <v>22.204988992363383</v>
      </c>
      <c r="CF78" s="9">
        <v>6.421268058084852</v>
      </c>
      <c r="CG78" s="9">
        <v>2.1760140042370786</v>
      </c>
      <c r="CH78" s="9">
        <v>7.3486619224712086</v>
      </c>
      <c r="CI78" s="9">
        <v>1.2295263862137886</v>
      </c>
      <c r="CJ78" s="9">
        <v>7.5148269792846403</v>
      </c>
      <c r="CK78" s="9">
        <v>1.5640165832624777</v>
      </c>
      <c r="CL78" s="9">
        <v>4.4589019709392472</v>
      </c>
      <c r="CM78" s="9">
        <v>0.65617724113628551</v>
      </c>
      <c r="CN78" s="9">
        <v>4.0770000902537662</v>
      </c>
      <c r="CO78" s="9">
        <v>0.63672354385469099</v>
      </c>
      <c r="CP78" s="9">
        <v>4.9051199475438194</v>
      </c>
      <c r="CQ78" s="9">
        <v>1.0446456370395807</v>
      </c>
      <c r="CR78" s="9">
        <v>1.6643392285979306</v>
      </c>
      <c r="CS78" s="9">
        <v>1.6505228087463339</v>
      </c>
      <c r="CT78" s="9">
        <v>2.4465841414107703</v>
      </c>
    </row>
    <row r="79" spans="1:98">
      <c r="A79" s="1" t="s">
        <v>271</v>
      </c>
      <c r="B79" s="1" t="s">
        <v>265</v>
      </c>
      <c r="C79" s="1" t="s">
        <v>792</v>
      </c>
      <c r="D79" s="55">
        <v>67.340277777777771</v>
      </c>
      <c r="E79" s="55">
        <v>3.6211111111111114</v>
      </c>
      <c r="I79" s="9">
        <v>220.05</v>
      </c>
      <c r="J79" s="1" t="s">
        <v>256</v>
      </c>
      <c r="K79" s="1" t="s">
        <v>52</v>
      </c>
      <c r="L79" s="1" t="s">
        <v>864</v>
      </c>
      <c r="M79" s="78" t="s">
        <v>862</v>
      </c>
      <c r="N79" s="78"/>
      <c r="P79" s="1" t="s">
        <v>262</v>
      </c>
      <c r="Q79" s="1" t="s">
        <v>269</v>
      </c>
      <c r="R79" s="4">
        <v>49.04</v>
      </c>
      <c r="S79" s="4">
        <v>2.625</v>
      </c>
      <c r="T79" s="4">
        <v>13.93</v>
      </c>
      <c r="U79" s="4">
        <v>13.3</v>
      </c>
      <c r="W79" s="27">
        <v>0.16900000000000001</v>
      </c>
      <c r="X79" s="4">
        <v>6.54</v>
      </c>
      <c r="Y79" s="4">
        <v>10.74</v>
      </c>
      <c r="Z79" s="4">
        <v>2.71</v>
      </c>
      <c r="AA79" s="4">
        <v>0.19</v>
      </c>
      <c r="AB79" s="4">
        <v>0.254</v>
      </c>
      <c r="AC79" s="9">
        <v>0.18</v>
      </c>
      <c r="AD79" s="21">
        <f t="shared" si="80"/>
        <v>99.677999999999997</v>
      </c>
      <c r="AE79" s="21">
        <f t="shared" si="81"/>
        <v>11.956700000000001</v>
      </c>
      <c r="AF79" s="23">
        <f t="shared" si="82"/>
        <v>0.49369808561445361</v>
      </c>
      <c r="AH79" s="16">
        <f t="shared" si="83"/>
        <v>49.287422862771116</v>
      </c>
      <c r="AI79" s="16">
        <f t="shared" si="84"/>
        <v>2.6382439848037147</v>
      </c>
      <c r="AJ79" s="16">
        <f t="shared" si="85"/>
        <v>14.000281412691713</v>
      </c>
      <c r="AK79" s="16">
        <f t="shared" si="86"/>
        <v>13.367102856338823</v>
      </c>
      <c r="AL79" s="16">
        <f t="shared" si="87"/>
        <v>0</v>
      </c>
      <c r="AM79" s="16">
        <f t="shared" si="88"/>
        <v>0.16985266035498206</v>
      </c>
      <c r="AN79" s="16">
        <f t="shared" si="89"/>
        <v>6.5729964421395408</v>
      </c>
      <c r="AO79" s="16">
        <f t="shared" si="90"/>
        <v>10.794186817825485</v>
      </c>
      <c r="AP79" s="16">
        <f t="shared" si="91"/>
        <v>2.7236728376449779</v>
      </c>
      <c r="AQ79" s="16">
        <f t="shared" si="92"/>
        <v>0.19095861223341173</v>
      </c>
      <c r="AR79" s="16">
        <f t="shared" si="93"/>
        <v>0.25528151319624515</v>
      </c>
      <c r="AS79" s="16">
        <f t="shared" si="94"/>
        <v>100.00000000000003</v>
      </c>
      <c r="AT79" s="16">
        <f t="shared" si="95"/>
        <v>12.017025467848603</v>
      </c>
      <c r="AV79" s="1" t="s">
        <v>401</v>
      </c>
      <c r="AW79" s="69">
        <v>6.2406804180259634</v>
      </c>
      <c r="AX79" s="69">
        <v>0.94002224200148532</v>
      </c>
      <c r="AY79" s="69">
        <v>42.60159998734752</v>
      </c>
      <c r="AZ79" s="69">
        <v>398.5396280772743</v>
      </c>
      <c r="BA79" s="69"/>
      <c r="BB79" s="69">
        <v>180.35122696950714</v>
      </c>
      <c r="BC79" s="69"/>
      <c r="BD79" s="69">
        <v>52.285084798610974</v>
      </c>
      <c r="BE79" s="69"/>
      <c r="BF79" s="69">
        <v>78.034303935454204</v>
      </c>
      <c r="BG79" s="69"/>
      <c r="BH79" s="69">
        <v>196.17421486505691</v>
      </c>
      <c r="BI79" s="69"/>
      <c r="BJ79" s="69">
        <v>130.42814909543435</v>
      </c>
      <c r="BK79" s="69"/>
      <c r="BL79" s="69">
        <v>21.514916345225114</v>
      </c>
      <c r="BM79" s="69"/>
      <c r="BN79" s="69">
        <v>0.9052130150326021</v>
      </c>
      <c r="BP79" s="69">
        <v>253.16516906198171</v>
      </c>
      <c r="BQ79" s="69"/>
      <c r="BR79" s="69">
        <v>37.151213671363038</v>
      </c>
      <c r="BS79" s="69"/>
      <c r="BT79" s="69">
        <v>185.92966407885808</v>
      </c>
      <c r="BV79" s="9">
        <v>15.136954061412359</v>
      </c>
      <c r="BZ79" s="9">
        <v>5.7594367783785506E-3</v>
      </c>
      <c r="CA79" s="9">
        <v>82.743722776754296</v>
      </c>
      <c r="CB79" s="9">
        <v>14.768385525771324</v>
      </c>
      <c r="CC79" s="9">
        <v>36.296055742100855</v>
      </c>
      <c r="CD79" s="9">
        <v>4.9675598382102999</v>
      </c>
      <c r="CE79" s="9">
        <v>22.100096291778122</v>
      </c>
      <c r="CF79" s="9">
        <v>6.4700584493560243</v>
      </c>
      <c r="CG79" s="9">
        <v>2.1236725187515977</v>
      </c>
      <c r="CH79" s="9">
        <v>7.1753201590714539</v>
      </c>
      <c r="CI79" s="9">
        <v>1.1855330918442752</v>
      </c>
      <c r="CJ79" s="9">
        <v>7.143381470643857</v>
      </c>
      <c r="CK79" s="9">
        <v>1.4632976616705444</v>
      </c>
      <c r="CL79" s="9">
        <v>3.933884496791082</v>
      </c>
      <c r="CM79" s="9">
        <v>0.59389004468887729</v>
      </c>
      <c r="CN79" s="9">
        <v>3.6204945931257826</v>
      </c>
      <c r="CO79" s="9">
        <v>0.55182846017452958</v>
      </c>
      <c r="CP79" s="9">
        <v>4.8785490357056576</v>
      </c>
      <c r="CQ79" s="9">
        <v>1.0336679789246068</v>
      </c>
      <c r="CR79" s="9">
        <v>1.6379766227734369</v>
      </c>
      <c r="CS79" s="9">
        <v>1.682660648264326</v>
      </c>
      <c r="CT79" s="9">
        <v>0.47199534898342588</v>
      </c>
    </row>
    <row r="80" spans="1:98">
      <c r="A80" s="1" t="s">
        <v>271</v>
      </c>
      <c r="B80" s="1" t="s">
        <v>265</v>
      </c>
      <c r="C80" s="1" t="s">
        <v>793</v>
      </c>
      <c r="D80" s="55">
        <v>67.340277777777771</v>
      </c>
      <c r="E80" s="55">
        <v>3.6211111111111114</v>
      </c>
      <c r="I80" s="9">
        <v>229.87</v>
      </c>
      <c r="J80" s="1" t="s">
        <v>256</v>
      </c>
      <c r="K80" s="1" t="s">
        <v>52</v>
      </c>
      <c r="L80" s="1" t="s">
        <v>864</v>
      </c>
      <c r="M80" s="78" t="s">
        <v>862</v>
      </c>
      <c r="N80" s="78"/>
      <c r="P80" s="1" t="s">
        <v>262</v>
      </c>
      <c r="Q80" s="1" t="s">
        <v>269</v>
      </c>
      <c r="R80" s="4">
        <v>47.9</v>
      </c>
      <c r="S80" s="4">
        <v>1.363</v>
      </c>
      <c r="T80" s="4">
        <v>14.7</v>
      </c>
      <c r="U80" s="4">
        <v>12.01</v>
      </c>
      <c r="W80" s="27">
        <v>0.16</v>
      </c>
      <c r="X80" s="4">
        <v>8.49</v>
      </c>
      <c r="Y80" s="4">
        <v>10.29</v>
      </c>
      <c r="Z80" s="4">
        <v>2.13</v>
      </c>
      <c r="AA80" s="4">
        <v>0.47</v>
      </c>
      <c r="AB80" s="4">
        <v>0.10299999999999999</v>
      </c>
      <c r="AC80" s="9">
        <v>2.2200000000000002</v>
      </c>
      <c r="AD80" s="21">
        <f t="shared" si="80"/>
        <v>99.83599999999997</v>
      </c>
      <c r="AE80" s="21">
        <f t="shared" si="81"/>
        <v>10.796989999999999</v>
      </c>
      <c r="AF80" s="23">
        <f t="shared" si="82"/>
        <v>0.58364805746047577</v>
      </c>
      <c r="AH80" s="16">
        <f t="shared" si="83"/>
        <v>49.069824618914943</v>
      </c>
      <c r="AI80" s="16">
        <f t="shared" si="84"/>
        <v>1.3962874938534671</v>
      </c>
      <c r="AJ80" s="16">
        <f t="shared" si="85"/>
        <v>15.059006720209807</v>
      </c>
      <c r="AK80" s="16">
        <f t="shared" si="86"/>
        <v>12.303310932633998</v>
      </c>
      <c r="AL80" s="16">
        <f t="shared" si="87"/>
        <v>0</v>
      </c>
      <c r="AM80" s="16">
        <f t="shared" si="88"/>
        <v>0.16390755613833802</v>
      </c>
      <c r="AN80" s="16">
        <f t="shared" si="89"/>
        <v>8.6973446975905606</v>
      </c>
      <c r="AO80" s="16">
        <f t="shared" si="90"/>
        <v>10.541304704146864</v>
      </c>
      <c r="AP80" s="16">
        <f t="shared" si="91"/>
        <v>2.1820193410916251</v>
      </c>
      <c r="AQ80" s="16">
        <f t="shared" si="92"/>
        <v>0.48147844615636792</v>
      </c>
      <c r="AR80" s="16">
        <f t="shared" si="93"/>
        <v>0.10551548926405509</v>
      </c>
      <c r="AS80" s="16">
        <f t="shared" si="94"/>
        <v>100.00000000000004</v>
      </c>
      <c r="AT80" s="16">
        <f t="shared" si="95"/>
        <v>11.060676528437964</v>
      </c>
      <c r="AV80" s="1" t="s">
        <v>401</v>
      </c>
      <c r="AW80" s="69">
        <v>15.623305048671265</v>
      </c>
      <c r="AX80" s="69">
        <v>0.44928114478818815</v>
      </c>
      <c r="AY80" s="69">
        <v>37.397788737707899</v>
      </c>
      <c r="AZ80" s="69">
        <v>287.76143906001789</v>
      </c>
      <c r="BA80" s="69"/>
      <c r="BB80" s="69">
        <v>330.07437206831787</v>
      </c>
      <c r="BC80" s="69"/>
      <c r="BD80" s="69">
        <v>47.464698772784956</v>
      </c>
      <c r="BE80" s="69"/>
      <c r="BF80" s="69">
        <v>112.43048163248264</v>
      </c>
      <c r="BG80" s="69"/>
      <c r="BH80" s="69">
        <v>59.313838536711579</v>
      </c>
      <c r="BI80" s="69"/>
      <c r="BJ80" s="69">
        <v>77.280930376094005</v>
      </c>
      <c r="BK80" s="69"/>
      <c r="BL80" s="69">
        <v>17.262055578975982</v>
      </c>
      <c r="BM80" s="69"/>
      <c r="BN80" s="69">
        <v>8.5494636097906493</v>
      </c>
      <c r="BP80" s="69">
        <v>151.85298784477044</v>
      </c>
      <c r="BQ80" s="69"/>
      <c r="BR80" s="69">
        <v>22.399821960251295</v>
      </c>
      <c r="BS80" s="69"/>
      <c r="BT80" s="69">
        <v>76.393729323468918</v>
      </c>
      <c r="BV80" s="9">
        <v>5.4845318386545472</v>
      </c>
      <c r="BZ80" s="9">
        <v>0.18423119030311566</v>
      </c>
      <c r="CA80" s="9">
        <v>25.931982090289388</v>
      </c>
      <c r="CB80" s="9">
        <v>5.919183309510073</v>
      </c>
      <c r="CC80" s="9">
        <v>14.75587497204506</v>
      </c>
      <c r="CD80" s="9">
        <v>2.13824855412508</v>
      </c>
      <c r="CE80" s="9">
        <v>9.9276202008169534</v>
      </c>
      <c r="CF80" s="9">
        <v>3.171552832144183</v>
      </c>
      <c r="CG80" s="9">
        <v>1.2243808512851597</v>
      </c>
      <c r="CH80" s="9">
        <v>3.750376123606618</v>
      </c>
      <c r="CI80" s="9">
        <v>0.64013496978031281</v>
      </c>
      <c r="CJ80" s="9">
        <v>3.926273433698888</v>
      </c>
      <c r="CK80" s="9">
        <v>0.82084237141963257</v>
      </c>
      <c r="CL80" s="9">
        <v>2.2246448647178108</v>
      </c>
      <c r="CM80" s="9">
        <v>0.32497150459509788</v>
      </c>
      <c r="CN80" s="9">
        <v>1.9845469815564718</v>
      </c>
      <c r="CO80" s="9">
        <v>0.30297511740084504</v>
      </c>
      <c r="CP80" s="9">
        <v>2.068497942093714</v>
      </c>
      <c r="CQ80" s="9">
        <v>0.38345188226877325</v>
      </c>
      <c r="CR80" s="9">
        <v>0.50639523360316607</v>
      </c>
      <c r="CS80" s="9">
        <v>0.46146863246242587</v>
      </c>
      <c r="CT80" s="9">
        <v>8.8715556562338052E-2</v>
      </c>
    </row>
    <row r="81" spans="1:98">
      <c r="A81" s="1" t="s">
        <v>271</v>
      </c>
      <c r="B81" s="1" t="s">
        <v>265</v>
      </c>
      <c r="C81" s="1" t="s">
        <v>794</v>
      </c>
      <c r="D81" s="55">
        <v>67.3402777777778</v>
      </c>
      <c r="E81" s="55">
        <v>3.6211111111111101</v>
      </c>
      <c r="I81" s="9">
        <v>250.84</v>
      </c>
      <c r="J81" s="1" t="s">
        <v>256</v>
      </c>
      <c r="K81" s="1" t="s">
        <v>52</v>
      </c>
      <c r="L81" s="1" t="s">
        <v>864</v>
      </c>
      <c r="M81" s="78" t="s">
        <v>862</v>
      </c>
      <c r="N81" s="78"/>
      <c r="P81" s="1" t="s">
        <v>262</v>
      </c>
      <c r="Q81" s="1" t="s">
        <v>269</v>
      </c>
      <c r="R81" s="4">
        <v>48.42</v>
      </c>
      <c r="S81" s="4">
        <v>2.3719999999999999</v>
      </c>
      <c r="T81" s="4">
        <v>13.44</v>
      </c>
      <c r="U81" s="4">
        <v>14.87</v>
      </c>
      <c r="W81" s="27">
        <v>0.187</v>
      </c>
      <c r="X81" s="4">
        <v>6.51</v>
      </c>
      <c r="Y81" s="4">
        <v>10.09</v>
      </c>
      <c r="Z81" s="4">
        <v>2.92</v>
      </c>
      <c r="AA81" s="4">
        <v>0.14000000000000001</v>
      </c>
      <c r="AB81" s="4">
        <v>0.20499999999999999</v>
      </c>
      <c r="AC81" s="9">
        <v>1.67</v>
      </c>
      <c r="AD81" s="21">
        <f t="shared" si="80"/>
        <v>100.82400000000001</v>
      </c>
      <c r="AE81" s="21">
        <f t="shared" si="81"/>
        <v>13.368129999999999</v>
      </c>
      <c r="AF81" s="23">
        <f t="shared" si="82"/>
        <v>0.46471166019611587</v>
      </c>
      <c r="AH81" s="16">
        <f t="shared" si="83"/>
        <v>48.833128265122937</v>
      </c>
      <c r="AI81" s="16">
        <f t="shared" si="84"/>
        <v>2.3922383363253119</v>
      </c>
      <c r="AJ81" s="16">
        <f t="shared" si="85"/>
        <v>13.554672529600419</v>
      </c>
      <c r="AK81" s="16">
        <f t="shared" si="86"/>
        <v>14.996873550234987</v>
      </c>
      <c r="AL81" s="16">
        <f t="shared" si="87"/>
        <v>0</v>
      </c>
      <c r="AM81" s="16">
        <f t="shared" si="88"/>
        <v>0.188595518082982</v>
      </c>
      <c r="AN81" s="16">
        <f t="shared" si="89"/>
        <v>6.5655445065252023</v>
      </c>
      <c r="AO81" s="16">
        <f t="shared" si="90"/>
        <v>10.176089719022933</v>
      </c>
      <c r="AP81" s="16">
        <f t="shared" si="91"/>
        <v>2.9449139722048527</v>
      </c>
      <c r="AQ81" s="16">
        <f t="shared" si="92"/>
        <v>0.14119450551667104</v>
      </c>
      <c r="AR81" s="16">
        <f t="shared" si="93"/>
        <v>0.20674909736369684</v>
      </c>
      <c r="AS81" s="16">
        <f t="shared" si="94"/>
        <v>99.999999999999986</v>
      </c>
      <c r="AT81" s="16">
        <f t="shared" si="95"/>
        <v>13.482189321661254</v>
      </c>
      <c r="AV81" s="1" t="s">
        <v>401</v>
      </c>
      <c r="AW81" s="69">
        <v>5.3982305033393523</v>
      </c>
      <c r="AX81" s="69">
        <v>0.73636067976652664</v>
      </c>
      <c r="AY81" s="69">
        <v>43.63958092602531</v>
      </c>
      <c r="AZ81" s="69">
        <v>426.10018542814259</v>
      </c>
      <c r="BA81" s="69"/>
      <c r="BB81" s="69">
        <v>39.254531392956963</v>
      </c>
      <c r="BC81" s="69"/>
      <c r="BD81" s="69">
        <v>52.525870772791279</v>
      </c>
      <c r="BE81" s="69"/>
      <c r="BF81" s="69">
        <v>60.315623499541388</v>
      </c>
      <c r="BG81" s="69"/>
      <c r="BH81" s="69">
        <v>239.47812872526677</v>
      </c>
      <c r="BI81" s="69"/>
      <c r="BJ81" s="69">
        <v>129.37531538888655</v>
      </c>
      <c r="BK81" s="69"/>
      <c r="BL81" s="69">
        <v>21.462637940386742</v>
      </c>
      <c r="BM81" s="69"/>
      <c r="BN81" s="69">
        <v>0.71762401453023494</v>
      </c>
      <c r="BP81" s="69">
        <v>249.73781440504845</v>
      </c>
      <c r="BQ81" s="69"/>
      <c r="BR81" s="69">
        <v>34.617772224334061</v>
      </c>
      <c r="BS81" s="69"/>
      <c r="BT81" s="69">
        <v>148.85261902301539</v>
      </c>
      <c r="BV81" s="9">
        <v>10.734093191623097</v>
      </c>
      <c r="BZ81" s="9">
        <v>5.9940822609578902E-3</v>
      </c>
      <c r="CA81" s="9">
        <v>43.135750892922218</v>
      </c>
      <c r="CB81" s="9">
        <v>10.867380585969785</v>
      </c>
      <c r="CC81" s="9">
        <v>26.934714209285289</v>
      </c>
      <c r="CD81" s="9">
        <v>3.8626873335604617</v>
      </c>
      <c r="CE81" s="9">
        <v>17.788055292477829</v>
      </c>
      <c r="CF81" s="9">
        <v>5.2499069816991533</v>
      </c>
      <c r="CG81" s="9">
        <v>1.8811028984991898</v>
      </c>
      <c r="CH81" s="9">
        <v>6.1693187842246022</v>
      </c>
      <c r="CI81" s="9">
        <v>1.0573632984240744</v>
      </c>
      <c r="CJ81" s="9">
        <v>6.3342868867402666</v>
      </c>
      <c r="CK81" s="9">
        <v>1.3211320918913321</v>
      </c>
      <c r="CL81" s="9">
        <v>3.6777516367892478</v>
      </c>
      <c r="CM81" s="9">
        <v>0.54823066304398549</v>
      </c>
      <c r="CN81" s="9">
        <v>3.3476577583433378</v>
      </c>
      <c r="CO81" s="9">
        <v>0.50396791729941104</v>
      </c>
      <c r="CP81" s="9">
        <v>3.8709205340886665</v>
      </c>
      <c r="CQ81" s="9">
        <v>0.73372572660398083</v>
      </c>
      <c r="CR81" s="9">
        <v>0.76452301450643956</v>
      </c>
      <c r="CS81" s="9">
        <v>0.89647507722410258</v>
      </c>
      <c r="CT81" s="9">
        <v>0.2658860731578081</v>
      </c>
    </row>
    <row r="82" spans="1:98">
      <c r="A82" s="1" t="s">
        <v>271</v>
      </c>
      <c r="B82" s="1" t="s">
        <v>265</v>
      </c>
      <c r="C82" s="1" t="s">
        <v>795</v>
      </c>
      <c r="D82" s="55">
        <v>67.3402777777778</v>
      </c>
      <c r="E82" s="55">
        <v>3.6211111111111101</v>
      </c>
      <c r="I82" s="9">
        <v>260.69499999999999</v>
      </c>
      <c r="J82" s="1" t="s">
        <v>256</v>
      </c>
      <c r="K82" s="1" t="s">
        <v>52</v>
      </c>
      <c r="L82" s="1" t="s">
        <v>864</v>
      </c>
      <c r="M82" s="78" t="s">
        <v>862</v>
      </c>
      <c r="N82" s="78"/>
      <c r="P82" s="1" t="s">
        <v>262</v>
      </c>
      <c r="Q82" s="1" t="s">
        <v>269</v>
      </c>
      <c r="R82" s="4">
        <v>47.22</v>
      </c>
      <c r="S82" s="4">
        <v>1.821</v>
      </c>
      <c r="T82" s="4">
        <v>16.55</v>
      </c>
      <c r="U82" s="4">
        <v>14.62</v>
      </c>
      <c r="W82" s="27">
        <v>0.16500000000000001</v>
      </c>
      <c r="X82" s="4">
        <v>5.26</v>
      </c>
      <c r="Y82" s="4">
        <v>9.9</v>
      </c>
      <c r="Z82" s="4">
        <v>2.39</v>
      </c>
      <c r="AA82" s="4">
        <v>0.23</v>
      </c>
      <c r="AB82" s="4">
        <v>0.14699999999999999</v>
      </c>
      <c r="AC82" s="9">
        <v>2.94</v>
      </c>
      <c r="AD82" s="21">
        <f t="shared" si="80"/>
        <v>101.24300000000002</v>
      </c>
      <c r="AE82" s="21">
        <f t="shared" si="81"/>
        <v>13.143379999999999</v>
      </c>
      <c r="AF82" s="23">
        <f t="shared" si="82"/>
        <v>0.41638248620872281</v>
      </c>
      <c r="AH82" s="16">
        <f t="shared" si="83"/>
        <v>48.035156607631492</v>
      </c>
      <c r="AI82" s="16">
        <f t="shared" si="84"/>
        <v>1.8524358361392832</v>
      </c>
      <c r="AJ82" s="16">
        <f t="shared" si="85"/>
        <v>16.835701860573934</v>
      </c>
      <c r="AK82" s="16">
        <f t="shared" si="86"/>
        <v>14.872384362633893</v>
      </c>
      <c r="AL82" s="16">
        <f t="shared" si="87"/>
        <v>0</v>
      </c>
      <c r="AM82" s="16">
        <f t="shared" si="88"/>
        <v>0.16784838712958908</v>
      </c>
      <c r="AN82" s="16">
        <f t="shared" si="89"/>
        <v>5.3508031291008402</v>
      </c>
      <c r="AO82" s="16">
        <f t="shared" si="90"/>
        <v>10.070903227775345</v>
      </c>
      <c r="AP82" s="16">
        <f t="shared" si="91"/>
        <v>2.4312584559982904</v>
      </c>
      <c r="AQ82" s="16">
        <f t="shared" si="92"/>
        <v>0.23397047902912418</v>
      </c>
      <c r="AR82" s="16">
        <f t="shared" si="93"/>
        <v>0.14953765398817936</v>
      </c>
      <c r="AS82" s="16">
        <f t="shared" si="94"/>
        <v>99.999999999999972</v>
      </c>
      <c r="AT82" s="16">
        <f t="shared" si="95"/>
        <v>13.370273542007871</v>
      </c>
      <c r="AV82" s="1" t="s">
        <v>401</v>
      </c>
      <c r="AW82" s="69">
        <v>12.597420847483964</v>
      </c>
      <c r="AX82" s="69">
        <v>0.51981994511732643</v>
      </c>
      <c r="AY82" s="69">
        <v>37.725411954195103</v>
      </c>
      <c r="AZ82" s="69">
        <v>318.09185151562184</v>
      </c>
      <c r="BA82" s="69"/>
      <c r="BB82" s="69">
        <v>165.44173985129129</v>
      </c>
      <c r="BC82" s="69"/>
      <c r="BD82" s="69">
        <v>58.442245718526429</v>
      </c>
      <c r="BE82" s="69"/>
      <c r="BF82" s="69">
        <v>62.522993494996058</v>
      </c>
      <c r="BG82" s="69"/>
      <c r="BH82" s="69">
        <v>160.18309078374259</v>
      </c>
      <c r="BI82" s="69"/>
      <c r="BJ82" s="69">
        <v>98.532286314939583</v>
      </c>
      <c r="BK82" s="69"/>
      <c r="BL82" s="69">
        <v>20.132011529051951</v>
      </c>
      <c r="BM82" s="69"/>
      <c r="BN82" s="69">
        <v>1.5539102624231873</v>
      </c>
      <c r="BP82" s="69">
        <v>207.26322255693344</v>
      </c>
      <c r="BQ82" s="69"/>
      <c r="BR82" s="69">
        <v>28.181363396134465</v>
      </c>
      <c r="BS82" s="69"/>
      <c r="BT82" s="69">
        <v>109.50440756612407</v>
      </c>
      <c r="BV82" s="9">
        <v>7.9555151243408888</v>
      </c>
      <c r="BZ82" s="9">
        <v>2.5950483102753403E-2</v>
      </c>
      <c r="CA82" s="9">
        <v>492.97364614547035</v>
      </c>
      <c r="CB82" s="9">
        <v>8.8306361963710067</v>
      </c>
      <c r="CC82" s="9">
        <v>21.311684610505296</v>
      </c>
      <c r="CD82" s="9">
        <v>3.0366965425672463</v>
      </c>
      <c r="CE82" s="9">
        <v>14.064788147423467</v>
      </c>
      <c r="CF82" s="9">
        <v>4.2863177675154116</v>
      </c>
      <c r="CG82" s="9">
        <v>1.6145188747714774</v>
      </c>
      <c r="CH82" s="9">
        <v>5.0528752806493049</v>
      </c>
      <c r="CI82" s="9">
        <v>0.86185162328483844</v>
      </c>
      <c r="CJ82" s="9">
        <v>5.2028583366728673</v>
      </c>
      <c r="CK82" s="9">
        <v>1.0804668365338705</v>
      </c>
      <c r="CL82" s="9">
        <v>2.8731305356369603</v>
      </c>
      <c r="CM82" s="9">
        <v>0.43350819328410262</v>
      </c>
      <c r="CN82" s="9">
        <v>2.6240080791179632</v>
      </c>
      <c r="CO82" s="9">
        <v>0.39764262197508254</v>
      </c>
      <c r="CP82" s="9">
        <v>2.91466965915434</v>
      </c>
      <c r="CQ82" s="9">
        <v>0.54962197672456981</v>
      </c>
      <c r="CR82" s="9">
        <v>0.60597065092226288</v>
      </c>
      <c r="CS82" s="9">
        <v>0.66800613452073343</v>
      </c>
      <c r="CT82" s="9">
        <v>0.15037742390256204</v>
      </c>
    </row>
    <row r="83" spans="1:98">
      <c r="A83" s="1" t="s">
        <v>271</v>
      </c>
      <c r="B83" s="1" t="s">
        <v>265</v>
      </c>
      <c r="C83" s="1" t="s">
        <v>796</v>
      </c>
      <c r="D83" s="55">
        <v>67.3402777777778</v>
      </c>
      <c r="E83" s="55">
        <v>3.6211111111111101</v>
      </c>
      <c r="I83" s="9">
        <v>270.64</v>
      </c>
      <c r="J83" s="1" t="s">
        <v>256</v>
      </c>
      <c r="K83" s="1" t="s">
        <v>52</v>
      </c>
      <c r="L83" s="1" t="s">
        <v>864</v>
      </c>
      <c r="M83" s="78" t="s">
        <v>862</v>
      </c>
      <c r="N83" s="78"/>
      <c r="P83" s="1" t="s">
        <v>262</v>
      </c>
      <c r="Q83" s="1" t="s">
        <v>269</v>
      </c>
      <c r="R83" s="4">
        <v>47.99</v>
      </c>
      <c r="S83" s="4">
        <v>1.982</v>
      </c>
      <c r="T83" s="4">
        <v>15.96</v>
      </c>
      <c r="U83" s="4">
        <v>13.17</v>
      </c>
      <c r="W83" s="27">
        <v>0.14799999999999999</v>
      </c>
      <c r="X83" s="4">
        <v>5.9</v>
      </c>
      <c r="Y83" s="4">
        <v>9.85</v>
      </c>
      <c r="Z83" s="4">
        <v>2.62</v>
      </c>
      <c r="AA83" s="4">
        <v>0.22</v>
      </c>
      <c r="AB83" s="4">
        <v>0.16600000000000001</v>
      </c>
      <c r="AC83" s="9">
        <v>2.42</v>
      </c>
      <c r="AD83" s="21">
        <f t="shared" si="80"/>
        <v>100.426</v>
      </c>
      <c r="AE83" s="21">
        <f t="shared" si="81"/>
        <v>11.839830000000001</v>
      </c>
      <c r="AF83" s="23">
        <f t="shared" si="82"/>
        <v>0.47044168372782402</v>
      </c>
      <c r="AH83" s="16">
        <f t="shared" si="83"/>
        <v>48.966389812868599</v>
      </c>
      <c r="AI83" s="16">
        <f t="shared" si="84"/>
        <v>2.0223251637654838</v>
      </c>
      <c r="AJ83" s="16">
        <f t="shared" si="85"/>
        <v>16.284717262208435</v>
      </c>
      <c r="AK83" s="16">
        <f t="shared" si="86"/>
        <v>13.437952778401323</v>
      </c>
      <c r="AL83" s="16">
        <f t="shared" si="87"/>
        <v>0</v>
      </c>
      <c r="AM83" s="16">
        <f t="shared" si="88"/>
        <v>0.15101116258188274</v>
      </c>
      <c r="AN83" s="16">
        <f t="shared" si="89"/>
        <v>6.0200395894128933</v>
      </c>
      <c r="AO83" s="16">
        <f t="shared" si="90"/>
        <v>10.050405077240169</v>
      </c>
      <c r="AP83" s="16">
        <f t="shared" si="91"/>
        <v>2.6733057159765727</v>
      </c>
      <c r="AQ83" s="16">
        <f t="shared" si="92"/>
        <v>0.22447605248658245</v>
      </c>
      <c r="AR83" s="16">
        <f t="shared" si="93"/>
        <v>0.16937738505805769</v>
      </c>
      <c r="AS83" s="16">
        <f t="shared" si="94"/>
        <v>99.999999999999986</v>
      </c>
      <c r="AT83" s="16">
        <f t="shared" si="95"/>
        <v>12.08071954778279</v>
      </c>
      <c r="AV83" s="1" t="s">
        <v>401</v>
      </c>
      <c r="AW83" s="69">
        <v>8.5079066762083571</v>
      </c>
      <c r="AX83" s="69">
        <v>0.54378095685610117</v>
      </c>
      <c r="AY83" s="69">
        <v>40.415564053968588</v>
      </c>
      <c r="AZ83" s="69">
        <v>369.39699941080556</v>
      </c>
      <c r="BA83" s="69"/>
      <c r="BB83" s="69">
        <v>147.96738881429863</v>
      </c>
      <c r="BC83" s="69"/>
      <c r="BD83" s="69">
        <v>46.34326663712239</v>
      </c>
      <c r="BE83" s="69"/>
      <c r="BF83" s="69">
        <v>54.612042168843253</v>
      </c>
      <c r="BG83" s="69"/>
      <c r="BH83" s="69">
        <v>263.14215816736959</v>
      </c>
      <c r="BI83" s="69"/>
      <c r="BJ83" s="69">
        <v>91.816996247030659</v>
      </c>
      <c r="BK83" s="69"/>
      <c r="BL83" s="69">
        <v>20.365913969593649</v>
      </c>
      <c r="BM83" s="69"/>
      <c r="BN83" s="69">
        <v>1.7978815005372046</v>
      </c>
      <c r="BP83" s="69">
        <v>205.4839020745261</v>
      </c>
      <c r="BQ83" s="69"/>
      <c r="BR83" s="69">
        <v>31.470333632200855</v>
      </c>
      <c r="BS83" s="69"/>
      <c r="BT83" s="69">
        <v>120.61075335767366</v>
      </c>
      <c r="BV83" s="9">
        <v>8.6736398340029552</v>
      </c>
      <c r="BZ83" s="9">
        <v>3.5918035913902989E-2</v>
      </c>
      <c r="CA83" s="9">
        <v>48.410975820324779</v>
      </c>
      <c r="CB83" s="9">
        <v>9.2073243483743106</v>
      </c>
      <c r="CC83" s="9">
        <v>23.538075689346094</v>
      </c>
      <c r="CD83" s="9">
        <v>3.3892197580321222</v>
      </c>
      <c r="CE83" s="9">
        <v>15.807245416615123</v>
      </c>
      <c r="CF83" s="9">
        <v>4.8996975786230319</v>
      </c>
      <c r="CG83" s="9">
        <v>1.8049379140053552</v>
      </c>
      <c r="CH83" s="9">
        <v>5.6624548937288592</v>
      </c>
      <c r="CI83" s="9">
        <v>0.96813115856117338</v>
      </c>
      <c r="CJ83" s="9">
        <v>5.8008272962484435</v>
      </c>
      <c r="CK83" s="9">
        <v>1.1940613615144562</v>
      </c>
      <c r="CL83" s="9">
        <v>3.2346793329743266</v>
      </c>
      <c r="CM83" s="9">
        <v>0.47329362715406043</v>
      </c>
      <c r="CN83" s="9">
        <v>2.8737309570630591</v>
      </c>
      <c r="CO83" s="9">
        <v>0.42251781125670429</v>
      </c>
      <c r="CP83" s="9">
        <v>3.1732938709259253</v>
      </c>
      <c r="CQ83" s="9">
        <v>0.60711505435396518</v>
      </c>
      <c r="CR83" s="9">
        <v>0.78758290648466101</v>
      </c>
      <c r="CS83" s="9">
        <v>0.73010410293577388</v>
      </c>
      <c r="CT83" s="9">
        <v>0.17562381622585757</v>
      </c>
    </row>
    <row r="84" spans="1:98">
      <c r="A84" s="1" t="s">
        <v>271</v>
      </c>
      <c r="B84" s="1" t="s">
        <v>265</v>
      </c>
      <c r="C84" s="1" t="s">
        <v>797</v>
      </c>
      <c r="D84" s="55">
        <v>67.3402777777778</v>
      </c>
      <c r="E84" s="55">
        <v>3.6211111111111101</v>
      </c>
      <c r="I84" s="9">
        <v>282.57</v>
      </c>
      <c r="J84" s="1" t="s">
        <v>256</v>
      </c>
      <c r="K84" s="1" t="s">
        <v>52</v>
      </c>
      <c r="L84" s="1" t="s">
        <v>864</v>
      </c>
      <c r="M84" s="78" t="s">
        <v>862</v>
      </c>
      <c r="N84" s="78"/>
      <c r="P84" s="1" t="s">
        <v>262</v>
      </c>
      <c r="Q84" s="1" t="s">
        <v>269</v>
      </c>
      <c r="R84" s="4">
        <v>47.96</v>
      </c>
      <c r="S84" s="4">
        <v>1.83</v>
      </c>
      <c r="T84" s="4">
        <v>14.95</v>
      </c>
      <c r="U84" s="4">
        <v>13.67</v>
      </c>
      <c r="W84" s="27">
        <v>0.192</v>
      </c>
      <c r="X84" s="4">
        <v>6.89</v>
      </c>
      <c r="Y84" s="4">
        <v>9.73</v>
      </c>
      <c r="Z84" s="4">
        <v>2.74</v>
      </c>
      <c r="AA84" s="4">
        <v>0.16</v>
      </c>
      <c r="AB84" s="4">
        <v>0.16300000000000001</v>
      </c>
      <c r="AC84" s="9">
        <v>1.99</v>
      </c>
      <c r="AD84" s="21">
        <f t="shared" si="80"/>
        <v>100.27499999999998</v>
      </c>
      <c r="AE84" s="21">
        <f t="shared" si="81"/>
        <v>12.28933</v>
      </c>
      <c r="AF84" s="23">
        <f t="shared" si="82"/>
        <v>0.49987132789754141</v>
      </c>
      <c r="AH84" s="16">
        <f t="shared" si="83"/>
        <v>48.796866256295473</v>
      </c>
      <c r="AI84" s="16">
        <f t="shared" si="84"/>
        <v>1.8619321361347105</v>
      </c>
      <c r="AJ84" s="16">
        <f t="shared" si="85"/>
        <v>15.210866358040395</v>
      </c>
      <c r="AK84" s="16">
        <f t="shared" si="86"/>
        <v>13.908531312000816</v>
      </c>
      <c r="AL84" s="16">
        <f t="shared" si="87"/>
        <v>0</v>
      </c>
      <c r="AM84" s="16">
        <f t="shared" si="88"/>
        <v>0.19535025690593685</v>
      </c>
      <c r="AN84" s="16">
        <f t="shared" si="89"/>
        <v>7.0102253650099211</v>
      </c>
      <c r="AO84" s="16">
        <f t="shared" si="90"/>
        <v>9.8997812484102372</v>
      </c>
      <c r="AP84" s="16">
        <f t="shared" si="91"/>
        <v>2.7878109579284738</v>
      </c>
      <c r="AQ84" s="16">
        <f t="shared" si="92"/>
        <v>0.16279188075494738</v>
      </c>
      <c r="AR84" s="16">
        <f t="shared" si="93"/>
        <v>0.16584422851910266</v>
      </c>
      <c r="AS84" s="16">
        <f t="shared" si="94"/>
        <v>100.00000000000001</v>
      </c>
      <c r="AT84" s="16">
        <f t="shared" si="95"/>
        <v>12.503769649488735</v>
      </c>
      <c r="AV84" s="1" t="s">
        <v>401</v>
      </c>
      <c r="AW84" s="69">
        <v>6.8130653286682987</v>
      </c>
      <c r="AX84" s="69">
        <v>0.48765275472699388</v>
      </c>
      <c r="AY84" s="69">
        <v>41.004406249847982</v>
      </c>
      <c r="AZ84" s="69">
        <v>366.78166773855867</v>
      </c>
      <c r="BA84" s="69"/>
      <c r="BB84" s="69">
        <v>145.95267032147493</v>
      </c>
      <c r="BC84" s="69"/>
      <c r="BD84" s="69">
        <v>54.187752837038232</v>
      </c>
      <c r="BE84" s="69"/>
      <c r="BF84" s="69">
        <v>72.255997830325441</v>
      </c>
      <c r="BG84" s="69"/>
      <c r="BH84" s="69">
        <v>133.47908306005107</v>
      </c>
      <c r="BI84" s="69"/>
      <c r="BJ84" s="69">
        <v>100.36650070304705</v>
      </c>
      <c r="BK84" s="69"/>
      <c r="BL84" s="69">
        <v>20.052736833220472</v>
      </c>
      <c r="BM84" s="69"/>
      <c r="BN84" s="69">
        <v>1.2528297909804906</v>
      </c>
      <c r="BP84" s="69">
        <v>201.04857259689567</v>
      </c>
      <c r="BQ84" s="69"/>
      <c r="BR84" s="69">
        <v>28.618587392724788</v>
      </c>
      <c r="BS84" s="69"/>
      <c r="BT84" s="69">
        <v>110.26693684323384</v>
      </c>
      <c r="BV84" s="9">
        <v>7.7251373840039994</v>
      </c>
      <c r="BZ84" s="9">
        <v>1.0626198651085344E-2</v>
      </c>
      <c r="CA84" s="9">
        <v>36.607539267521638</v>
      </c>
      <c r="CB84" s="9">
        <v>7.9190791139880101</v>
      </c>
      <c r="CC84" s="9">
        <v>20.441506445697083</v>
      </c>
      <c r="CD84" s="9">
        <v>2.9396390486206108</v>
      </c>
      <c r="CE84" s="9">
        <v>13.663705810636541</v>
      </c>
      <c r="CF84" s="9">
        <v>4.2496737376773961</v>
      </c>
      <c r="CG84" s="9">
        <v>1.5546859200530236</v>
      </c>
      <c r="CH84" s="9">
        <v>5.0360920549838681</v>
      </c>
      <c r="CI84" s="9">
        <v>0.84676010375081967</v>
      </c>
      <c r="CJ84" s="9">
        <v>5.252372477979514</v>
      </c>
      <c r="CK84" s="9">
        <v>1.1015814486887936</v>
      </c>
      <c r="CL84" s="9">
        <v>3.0001546392282772</v>
      </c>
      <c r="CM84" s="9">
        <v>0.4465220168629862</v>
      </c>
      <c r="CN84" s="9">
        <v>2.8161547852415842</v>
      </c>
      <c r="CO84" s="9">
        <v>0.42280197954102827</v>
      </c>
      <c r="CP84" s="9">
        <v>2.9171138389397622</v>
      </c>
      <c r="CQ84" s="9">
        <v>0.53676382192568561</v>
      </c>
      <c r="CR84" s="9">
        <v>0.52916157759315652</v>
      </c>
      <c r="CS84" s="9">
        <v>0.6343161207056095</v>
      </c>
      <c r="CT84" s="9">
        <v>0.15693600637537705</v>
      </c>
    </row>
    <row r="85" spans="1:98">
      <c r="A85" s="1" t="s">
        <v>271</v>
      </c>
      <c r="B85" s="1" t="s">
        <v>265</v>
      </c>
      <c r="C85" s="1" t="s">
        <v>798</v>
      </c>
      <c r="D85" s="55">
        <v>67.3402777777778</v>
      </c>
      <c r="E85" s="55">
        <v>3.6211111111111101</v>
      </c>
      <c r="I85" s="9">
        <v>288.20499999999998</v>
      </c>
      <c r="J85" s="1" t="s">
        <v>256</v>
      </c>
      <c r="K85" s="1" t="s">
        <v>52</v>
      </c>
      <c r="L85" s="1" t="s">
        <v>864</v>
      </c>
      <c r="M85" s="78" t="s">
        <v>862</v>
      </c>
      <c r="N85" s="78"/>
      <c r="P85" s="1" t="s">
        <v>262</v>
      </c>
      <c r="Q85" s="1" t="s">
        <v>269</v>
      </c>
      <c r="R85" s="4">
        <v>48.69</v>
      </c>
      <c r="S85" s="4">
        <v>1.871</v>
      </c>
      <c r="T85" s="4">
        <v>14.83</v>
      </c>
      <c r="U85" s="4">
        <v>12.66</v>
      </c>
      <c r="W85" s="27">
        <v>0.19</v>
      </c>
      <c r="X85" s="4">
        <v>7.1</v>
      </c>
      <c r="Y85" s="4">
        <v>10.75</v>
      </c>
      <c r="Z85" s="4">
        <v>2.7</v>
      </c>
      <c r="AA85" s="4">
        <v>0.11</v>
      </c>
      <c r="AB85" s="4">
        <v>0.155</v>
      </c>
      <c r="AC85" s="9">
        <v>0.55000000000000004</v>
      </c>
      <c r="AD85" s="21">
        <f t="shared" si="80"/>
        <v>99.605999999999995</v>
      </c>
      <c r="AE85" s="21">
        <f t="shared" si="81"/>
        <v>11.38134</v>
      </c>
      <c r="AF85" s="23">
        <f t="shared" si="82"/>
        <v>0.5265413397852734</v>
      </c>
      <c r="AH85" s="16">
        <f t="shared" si="83"/>
        <v>49.154013891132287</v>
      </c>
      <c r="AI85" s="16">
        <f t="shared" si="84"/>
        <v>1.8888305604910354</v>
      </c>
      <c r="AJ85" s="16">
        <f t="shared" si="85"/>
        <v>14.971329349055081</v>
      </c>
      <c r="AK85" s="16">
        <f t="shared" si="86"/>
        <v>12.780649329672105</v>
      </c>
      <c r="AL85" s="16">
        <f t="shared" si="87"/>
        <v>0</v>
      </c>
      <c r="AM85" s="16">
        <f t="shared" si="88"/>
        <v>0.19181069294136652</v>
      </c>
      <c r="AN85" s="16">
        <f t="shared" si="89"/>
        <v>7.1676627362300112</v>
      </c>
      <c r="AO85" s="16">
        <f t="shared" si="90"/>
        <v>10.852447100629947</v>
      </c>
      <c r="AP85" s="16">
        <f t="shared" si="91"/>
        <v>2.7257308996931031</v>
      </c>
      <c r="AQ85" s="16">
        <f t="shared" si="92"/>
        <v>0.11104829591342272</v>
      </c>
      <c r="AR85" s="16">
        <f t="shared" si="93"/>
        <v>0.15647714424164111</v>
      </c>
      <c r="AS85" s="16">
        <f t="shared" si="94"/>
        <v>99.999999999999986</v>
      </c>
      <c r="AT85" s="16">
        <f t="shared" si="95"/>
        <v>11.489803747375223</v>
      </c>
      <c r="AV85" s="1" t="s">
        <v>401</v>
      </c>
      <c r="AW85" s="69">
        <v>6.1287113369873234</v>
      </c>
      <c r="AX85" s="69">
        <v>0.59462065794100738</v>
      </c>
      <c r="AY85" s="69">
        <v>40.543690045954087</v>
      </c>
      <c r="AZ85" s="69">
        <v>368.69917548036284</v>
      </c>
      <c r="BA85" s="69"/>
      <c r="BB85" s="69">
        <v>145.99036323859448</v>
      </c>
      <c r="BC85" s="69"/>
      <c r="BD85" s="69">
        <v>49.091840941317798</v>
      </c>
      <c r="BE85" s="69"/>
      <c r="BF85" s="69">
        <v>71.27618999571817</v>
      </c>
      <c r="BG85" s="69"/>
      <c r="BH85" s="69">
        <v>195.51013034302684</v>
      </c>
      <c r="BI85" s="69"/>
      <c r="BJ85" s="69">
        <v>100.7836056046221</v>
      </c>
      <c r="BK85" s="69"/>
      <c r="BL85" s="69">
        <v>20.427128216947768</v>
      </c>
      <c r="BM85" s="69"/>
      <c r="BN85" s="69">
        <v>0.64975848071154041</v>
      </c>
      <c r="BP85" s="69">
        <v>213.01818352871825</v>
      </c>
      <c r="BQ85" s="69"/>
      <c r="BR85" s="69">
        <v>27.353168098114892</v>
      </c>
      <c r="BS85" s="69"/>
      <c r="BT85" s="69">
        <v>115.38577793041927</v>
      </c>
      <c r="BV85" s="9">
        <v>7.7510086167111965</v>
      </c>
      <c r="BZ85" s="9">
        <v>6.3082628359443123E-3</v>
      </c>
      <c r="CA85" s="9">
        <v>37.453918231881204</v>
      </c>
      <c r="CB85" s="9">
        <v>7.7122320871236658</v>
      </c>
      <c r="CC85" s="9">
        <v>20.137786711189548</v>
      </c>
      <c r="CD85" s="9">
        <v>2.930417951180476</v>
      </c>
      <c r="CE85" s="9">
        <v>13.677475530546065</v>
      </c>
      <c r="CF85" s="9">
        <v>4.281747078032403</v>
      </c>
      <c r="CG85" s="9">
        <v>1.5958650424471792</v>
      </c>
      <c r="CH85" s="9">
        <v>5.093096925818732</v>
      </c>
      <c r="CI85" s="9">
        <v>0.88486685432847001</v>
      </c>
      <c r="CJ85" s="9">
        <v>5.2769208148988573</v>
      </c>
      <c r="CK85" s="9">
        <v>1.0975182073922694</v>
      </c>
      <c r="CL85" s="9">
        <v>2.986090946832161</v>
      </c>
      <c r="CM85" s="9">
        <v>0.45850939483499425</v>
      </c>
      <c r="CN85" s="9">
        <v>2.8090529071687769</v>
      </c>
      <c r="CO85" s="9">
        <v>0.43173821036541865</v>
      </c>
      <c r="CP85" s="9">
        <v>3.0950533426709845</v>
      </c>
      <c r="CQ85" s="9">
        <v>0.54068647283422855</v>
      </c>
      <c r="CR85" s="9">
        <v>0.66075940724602544</v>
      </c>
      <c r="CS85" s="9">
        <v>0.65470372713528013</v>
      </c>
      <c r="CT85" s="9">
        <v>0.17138191914662587</v>
      </c>
    </row>
    <row r="86" spans="1:98">
      <c r="A86" s="1" t="s">
        <v>271</v>
      </c>
      <c r="B86" s="1" t="s">
        <v>265</v>
      </c>
      <c r="C86" s="1" t="s">
        <v>799</v>
      </c>
      <c r="D86" s="55">
        <v>67.3402777777778</v>
      </c>
      <c r="E86" s="55">
        <v>3.6211111111111101</v>
      </c>
      <c r="I86" s="9">
        <v>303.41500000000002</v>
      </c>
      <c r="J86" s="1" t="s">
        <v>256</v>
      </c>
      <c r="K86" s="1" t="s">
        <v>52</v>
      </c>
      <c r="L86" s="1" t="s">
        <v>864</v>
      </c>
      <c r="M86" s="78" t="s">
        <v>862</v>
      </c>
      <c r="N86" s="78"/>
      <c r="P86" s="1" t="s">
        <v>262</v>
      </c>
      <c r="Q86" s="1" t="s">
        <v>269</v>
      </c>
      <c r="R86" s="4">
        <v>47.08</v>
      </c>
      <c r="S86" s="4">
        <v>1.62</v>
      </c>
      <c r="T86" s="4">
        <v>14.46</v>
      </c>
      <c r="U86" s="4">
        <v>12.36</v>
      </c>
      <c r="W86" s="27">
        <v>0.19800000000000001</v>
      </c>
      <c r="X86" s="4">
        <v>7.13</v>
      </c>
      <c r="Y86" s="4">
        <v>12</v>
      </c>
      <c r="Z86" s="4">
        <v>2.36</v>
      </c>
      <c r="AA86" s="4">
        <v>0.16</v>
      </c>
      <c r="AB86" s="4">
        <v>0.152</v>
      </c>
      <c r="AC86" s="9">
        <v>2.68</v>
      </c>
      <c r="AD86" s="21">
        <f t="shared" si="80"/>
        <v>100.19999999999999</v>
      </c>
      <c r="AE86" s="21">
        <f t="shared" si="81"/>
        <v>11.11164</v>
      </c>
      <c r="AF86" s="23">
        <f t="shared" si="82"/>
        <v>0.53356535701927843</v>
      </c>
      <c r="AH86" s="16">
        <f t="shared" si="83"/>
        <v>48.277276456111579</v>
      </c>
      <c r="AI86" s="16">
        <f t="shared" si="84"/>
        <v>1.6611977030352751</v>
      </c>
      <c r="AJ86" s="16">
        <f t="shared" si="85"/>
        <v>14.827727645611159</v>
      </c>
      <c r="AK86" s="16">
        <f t="shared" si="86"/>
        <v>12.674323215750618</v>
      </c>
      <c r="AL86" s="16">
        <f t="shared" si="87"/>
        <v>0</v>
      </c>
      <c r="AM86" s="16">
        <f t="shared" si="88"/>
        <v>0.20303527481542252</v>
      </c>
      <c r="AN86" s="16">
        <f t="shared" si="89"/>
        <v>7.3113207547169825</v>
      </c>
      <c r="AO86" s="16">
        <f t="shared" si="90"/>
        <v>12.305168170631667</v>
      </c>
      <c r="AP86" s="16">
        <f t="shared" si="91"/>
        <v>2.4200164068908947</v>
      </c>
      <c r="AQ86" s="16">
        <f t="shared" si="92"/>
        <v>0.16406890894175558</v>
      </c>
      <c r="AR86" s="16">
        <f t="shared" si="93"/>
        <v>0.15586546349466779</v>
      </c>
      <c r="AS86" s="16">
        <f t="shared" si="94"/>
        <v>100.00000000000001</v>
      </c>
      <c r="AT86" s="16">
        <f t="shared" si="95"/>
        <v>11.394216570959806</v>
      </c>
      <c r="AV86" s="1" t="s">
        <v>401</v>
      </c>
      <c r="AW86" s="69">
        <v>6.917141852075261</v>
      </c>
      <c r="AX86" s="69">
        <v>0.51402660987725735</v>
      </c>
      <c r="AY86" s="69">
        <v>39.40887165195182</v>
      </c>
      <c r="AZ86" s="69">
        <v>341.24316776153142</v>
      </c>
      <c r="BA86" s="69"/>
      <c r="BB86" s="69">
        <v>284.14132430583334</v>
      </c>
      <c r="BC86" s="69"/>
      <c r="BD86" s="69">
        <v>48.081449275830373</v>
      </c>
      <c r="BE86" s="69"/>
      <c r="BF86" s="69">
        <v>85.269966474555801</v>
      </c>
      <c r="BG86" s="69"/>
      <c r="BH86" s="69">
        <v>81.18090448742683</v>
      </c>
      <c r="BI86" s="69"/>
      <c r="BJ86" s="69">
        <v>93.905518830166343</v>
      </c>
      <c r="BK86" s="69"/>
      <c r="BL86" s="69">
        <v>18.836872292339518</v>
      </c>
      <c r="BM86" s="69"/>
      <c r="BN86" s="69">
        <v>1.834226630555988</v>
      </c>
      <c r="BP86" s="69">
        <v>197.19812276134238</v>
      </c>
      <c r="BQ86" s="69"/>
      <c r="BR86" s="69">
        <v>24.078469317509562</v>
      </c>
      <c r="BS86" s="69"/>
      <c r="BT86" s="69">
        <v>98.265406925495753</v>
      </c>
      <c r="BV86" s="9">
        <v>6.6803264352217253</v>
      </c>
      <c r="BZ86" s="9">
        <v>3.2380474399348123E-2</v>
      </c>
      <c r="CA86" s="9">
        <v>43.827505843675006</v>
      </c>
      <c r="CB86" s="9">
        <v>6.6211854060206701</v>
      </c>
      <c r="CC86" s="9">
        <v>17.134569147085294</v>
      </c>
      <c r="CD86" s="9">
        <v>2.5306517039840957</v>
      </c>
      <c r="CE86" s="9">
        <v>12.07735710076294</v>
      </c>
      <c r="CF86" s="9">
        <v>3.7694257429131275</v>
      </c>
      <c r="CG86" s="9">
        <v>1.4303408836207991</v>
      </c>
      <c r="CH86" s="9">
        <v>4.4291516942294642</v>
      </c>
      <c r="CI86" s="9">
        <v>0.7579819563505229</v>
      </c>
      <c r="CJ86" s="9">
        <v>4.5794954831773023</v>
      </c>
      <c r="CK86" s="9">
        <v>0.94188047651442441</v>
      </c>
      <c r="CL86" s="9">
        <v>2.5569681442279402</v>
      </c>
      <c r="CM86" s="9">
        <v>0.37877831594348904</v>
      </c>
      <c r="CN86" s="9">
        <v>2.3381868472256118</v>
      </c>
      <c r="CO86" s="9">
        <v>0.3561328126769811</v>
      </c>
      <c r="CP86" s="9">
        <v>2.6850963923309084</v>
      </c>
      <c r="CQ86" s="9">
        <v>0.46799337094956694</v>
      </c>
      <c r="CR86" s="9">
        <v>0.58709467430049278</v>
      </c>
      <c r="CS86" s="9">
        <v>0.5837213362860969</v>
      </c>
      <c r="CT86" s="9">
        <v>0.12339189967086636</v>
      </c>
    </row>
    <row r="87" spans="1:98">
      <c r="A87" s="1" t="s">
        <v>271</v>
      </c>
      <c r="B87" s="1" t="s">
        <v>265</v>
      </c>
      <c r="C87" s="1" t="s">
        <v>800</v>
      </c>
      <c r="D87" s="55">
        <v>67.3402777777778</v>
      </c>
      <c r="E87" s="55">
        <v>3.6211111111111101</v>
      </c>
      <c r="I87" s="9">
        <v>312.22500000000002</v>
      </c>
      <c r="J87" s="1" t="s">
        <v>256</v>
      </c>
      <c r="K87" s="1" t="s">
        <v>52</v>
      </c>
      <c r="L87" s="1" t="s">
        <v>864</v>
      </c>
      <c r="M87" s="78" t="s">
        <v>862</v>
      </c>
      <c r="N87" s="78"/>
      <c r="P87" s="1" t="s">
        <v>262</v>
      </c>
      <c r="Q87" s="1" t="s">
        <v>269</v>
      </c>
      <c r="R87" s="4">
        <v>48.92</v>
      </c>
      <c r="S87" s="4">
        <v>1.724</v>
      </c>
      <c r="T87" s="4">
        <v>14.49</v>
      </c>
      <c r="U87" s="4">
        <v>12.64</v>
      </c>
      <c r="W87" s="27">
        <v>0.189</v>
      </c>
      <c r="X87" s="4">
        <v>7.46</v>
      </c>
      <c r="Y87" s="4">
        <v>10.96</v>
      </c>
      <c r="Z87" s="4">
        <v>2.59</v>
      </c>
      <c r="AA87" s="4">
        <v>0.14000000000000001</v>
      </c>
      <c r="AB87" s="4">
        <v>0.14099999999999999</v>
      </c>
      <c r="AC87" s="9">
        <v>0.79</v>
      </c>
      <c r="AD87" s="21">
        <f t="shared" si="80"/>
        <v>100.044</v>
      </c>
      <c r="AE87" s="21">
        <f t="shared" si="81"/>
        <v>11.36336</v>
      </c>
      <c r="AF87" s="23">
        <f t="shared" si="82"/>
        <v>0.53924582937371157</v>
      </c>
      <c r="AH87" s="16">
        <f t="shared" si="83"/>
        <v>49.287686138593912</v>
      </c>
      <c r="AI87" s="16">
        <f t="shared" si="84"/>
        <v>1.7369577044753866</v>
      </c>
      <c r="AJ87" s="16">
        <f t="shared" si="85"/>
        <v>14.59890785258025</v>
      </c>
      <c r="AK87" s="16">
        <f t="shared" si="86"/>
        <v>12.735003123299817</v>
      </c>
      <c r="AL87" s="16">
        <f t="shared" si="87"/>
        <v>0</v>
      </c>
      <c r="AM87" s="16">
        <f t="shared" si="88"/>
        <v>0.19042053720756846</v>
      </c>
      <c r="AN87" s="16">
        <f t="shared" si="89"/>
        <v>7.5160698813146078</v>
      </c>
      <c r="AO87" s="16">
        <f t="shared" si="90"/>
        <v>11.042376125899208</v>
      </c>
      <c r="AP87" s="16">
        <f t="shared" si="91"/>
        <v>2.6094666209926052</v>
      </c>
      <c r="AQ87" s="16">
        <f t="shared" si="92"/>
        <v>0.14105224978338407</v>
      </c>
      <c r="AR87" s="16">
        <f t="shared" si="93"/>
        <v>0.14205976585326535</v>
      </c>
      <c r="AS87" s="16">
        <f t="shared" si="94"/>
        <v>100.00000000000001</v>
      </c>
      <c r="AT87" s="16">
        <f t="shared" si="95"/>
        <v>11.448767807846536</v>
      </c>
      <c r="AV87" s="1" t="s">
        <v>401</v>
      </c>
      <c r="AW87" s="69">
        <v>5.8300171722720533</v>
      </c>
      <c r="AX87" s="69">
        <v>0.53387546374316119</v>
      </c>
      <c r="AY87" s="69">
        <v>39.860114118153263</v>
      </c>
      <c r="AZ87" s="69">
        <v>349.8077841008855</v>
      </c>
      <c r="BA87" s="69"/>
      <c r="BB87" s="69">
        <v>255.13194536175772</v>
      </c>
      <c r="BC87" s="69"/>
      <c r="BD87" s="69">
        <v>48.08178076102476</v>
      </c>
      <c r="BE87" s="69"/>
      <c r="BF87" s="69">
        <v>77.677052595718834</v>
      </c>
      <c r="BG87" s="69"/>
      <c r="BH87" s="69">
        <v>97.941223794810895</v>
      </c>
      <c r="BI87" s="69"/>
      <c r="BJ87" s="69">
        <v>93.340996352815594</v>
      </c>
      <c r="BK87" s="69"/>
      <c r="BL87" s="69">
        <v>19.466231221164982</v>
      </c>
      <c r="BM87" s="69"/>
      <c r="BN87" s="69">
        <v>1.126664885636355</v>
      </c>
      <c r="BP87" s="69">
        <v>206.02071207397643</v>
      </c>
      <c r="BQ87" s="69"/>
      <c r="BR87" s="69">
        <v>25.652361400753414</v>
      </c>
      <c r="BS87" s="69"/>
      <c r="BT87" s="69">
        <v>105.93285822351217</v>
      </c>
      <c r="BV87" s="9">
        <v>7.2874337235061049</v>
      </c>
      <c r="BZ87" s="9">
        <v>1.0830028126042137E-2</v>
      </c>
      <c r="CA87" s="9">
        <v>39.974964914004602</v>
      </c>
      <c r="CB87" s="9">
        <v>7.281886218558097</v>
      </c>
      <c r="CC87" s="9">
        <v>18.884946261761801</v>
      </c>
      <c r="CD87" s="9">
        <v>2.7480656726881354</v>
      </c>
      <c r="CE87" s="9">
        <v>12.877205625343366</v>
      </c>
      <c r="CF87" s="9">
        <v>3.9749180015384518</v>
      </c>
      <c r="CG87" s="9">
        <v>1.4991645600827344</v>
      </c>
      <c r="CH87" s="9">
        <v>4.7042103985046317</v>
      </c>
      <c r="CI87" s="9">
        <v>0.80438427220254827</v>
      </c>
      <c r="CJ87" s="9">
        <v>4.8532482603474589</v>
      </c>
      <c r="CK87" s="9">
        <v>1.0030974399751069</v>
      </c>
      <c r="CL87" s="9">
        <v>2.7420688894159904</v>
      </c>
      <c r="CM87" s="9">
        <v>0.41273306458926096</v>
      </c>
      <c r="CN87" s="9">
        <v>2.5322702447391867</v>
      </c>
      <c r="CO87" s="9">
        <v>0.39167811687451531</v>
      </c>
      <c r="CP87" s="9">
        <v>2.8628587860507939</v>
      </c>
      <c r="CQ87" s="9">
        <v>0.50359900643010624</v>
      </c>
      <c r="CR87" s="9">
        <v>0.66994087762857868</v>
      </c>
      <c r="CS87" s="9">
        <v>0.61367597941142094</v>
      </c>
      <c r="CT87" s="9">
        <v>0.1465963197940561</v>
      </c>
    </row>
    <row r="88" spans="1:98">
      <c r="A88" s="1" t="s">
        <v>271</v>
      </c>
      <c r="B88" s="1" t="s">
        <v>265</v>
      </c>
      <c r="C88" s="1" t="s">
        <v>801</v>
      </c>
      <c r="D88" s="55">
        <v>67.3402777777778</v>
      </c>
      <c r="E88" s="55">
        <v>3.6211111111111101</v>
      </c>
      <c r="I88" s="9">
        <v>322.12</v>
      </c>
      <c r="J88" s="1" t="s">
        <v>256</v>
      </c>
      <c r="K88" s="1" t="s">
        <v>52</v>
      </c>
      <c r="L88" s="1" t="s">
        <v>864</v>
      </c>
      <c r="M88" s="78" t="s">
        <v>862</v>
      </c>
      <c r="N88" s="78"/>
      <c r="P88" s="1" t="s">
        <v>262</v>
      </c>
      <c r="Q88" s="1" t="s">
        <v>269</v>
      </c>
      <c r="R88" s="4">
        <v>48.62</v>
      </c>
      <c r="S88" s="4">
        <v>1.87</v>
      </c>
      <c r="T88" s="4">
        <v>14.74</v>
      </c>
      <c r="U88" s="4">
        <v>13.35</v>
      </c>
      <c r="W88" s="27">
        <v>0.19800000000000001</v>
      </c>
      <c r="X88" s="4">
        <v>6.33</v>
      </c>
      <c r="Y88" s="4">
        <v>11.15</v>
      </c>
      <c r="Z88" s="4">
        <v>2.6</v>
      </c>
      <c r="AA88" s="4">
        <v>0.3</v>
      </c>
      <c r="AB88" s="4">
        <v>0.154</v>
      </c>
      <c r="AC88" s="9">
        <v>0.53</v>
      </c>
      <c r="AD88" s="21">
        <f t="shared" si="80"/>
        <v>99.84199999999997</v>
      </c>
      <c r="AE88" s="21">
        <f t="shared" si="81"/>
        <v>12.00165</v>
      </c>
      <c r="AF88" s="23">
        <f t="shared" si="82"/>
        <v>0.48460529957825765</v>
      </c>
      <c r="AH88" s="16">
        <f t="shared" si="83"/>
        <v>48.956822941839874</v>
      </c>
      <c r="AI88" s="16">
        <f t="shared" si="84"/>
        <v>1.8829547285323027</v>
      </c>
      <c r="AJ88" s="16">
        <f t="shared" si="85"/>
        <v>14.84211374254874</v>
      </c>
      <c r="AK88" s="16">
        <f t="shared" si="86"/>
        <v>13.442484291928473</v>
      </c>
      <c r="AL88" s="16">
        <f t="shared" si="87"/>
        <v>0</v>
      </c>
      <c r="AM88" s="16">
        <f t="shared" si="88"/>
        <v>0.19937167713871443</v>
      </c>
      <c r="AN88" s="16">
        <f t="shared" si="89"/>
        <v>6.3738521024649613</v>
      </c>
      <c r="AO88" s="16">
        <f t="shared" si="90"/>
        <v>11.227243434831646</v>
      </c>
      <c r="AP88" s="16">
        <f t="shared" si="91"/>
        <v>2.6180119220235225</v>
      </c>
      <c r="AQ88" s="16">
        <f t="shared" si="92"/>
        <v>0.30207829869502184</v>
      </c>
      <c r="AR88" s="16">
        <f t="shared" si="93"/>
        <v>0.15506685999677788</v>
      </c>
      <c r="AS88" s="16">
        <f t="shared" si="94"/>
        <v>100.00000000000006</v>
      </c>
      <c r="AT88" s="16">
        <f t="shared" si="95"/>
        <v>12.084793378443697</v>
      </c>
      <c r="AV88" s="1" t="s">
        <v>401</v>
      </c>
      <c r="AW88" s="69">
        <v>4.715665072207365</v>
      </c>
      <c r="AX88" s="69">
        <v>0.56710687120916492</v>
      </c>
      <c r="AY88" s="69">
        <v>38.122041012928179</v>
      </c>
      <c r="AZ88" s="69">
        <v>359.62186106878579</v>
      </c>
      <c r="BA88" s="69"/>
      <c r="BB88" s="69">
        <v>171.44598890390662</v>
      </c>
      <c r="BC88" s="69"/>
      <c r="BD88" s="69">
        <v>48.747950101894055</v>
      </c>
      <c r="BE88" s="69"/>
      <c r="BF88" s="69">
        <v>72.500543374442941</v>
      </c>
      <c r="BG88" s="69"/>
      <c r="BH88" s="69">
        <v>68.186202688224242</v>
      </c>
      <c r="BI88" s="69"/>
      <c r="BJ88" s="69">
        <v>97.747868279038371</v>
      </c>
      <c r="BK88" s="69"/>
      <c r="BL88" s="69">
        <v>20.097731801761228</v>
      </c>
      <c r="BM88" s="69"/>
      <c r="BN88" s="69">
        <v>4.633870221901331</v>
      </c>
      <c r="BP88" s="69">
        <v>221.30612193842032</v>
      </c>
      <c r="BQ88" s="69"/>
      <c r="BR88" s="69">
        <v>28.076340466683273</v>
      </c>
      <c r="BS88" s="69"/>
      <c r="BT88" s="69">
        <v>116.59423359272041</v>
      </c>
      <c r="BV88" s="9">
        <v>7.9212431639040695</v>
      </c>
      <c r="BZ88" s="9">
        <v>4.4365620361289229E-2</v>
      </c>
      <c r="CA88" s="9">
        <v>39.418162133925215</v>
      </c>
      <c r="CB88" s="9">
        <v>7.8631263762502845</v>
      </c>
      <c r="CC88" s="9">
        <v>20.551801029481247</v>
      </c>
      <c r="CD88" s="9">
        <v>2.958118190806168</v>
      </c>
      <c r="CE88" s="9">
        <v>13.966854959219562</v>
      </c>
      <c r="CF88" s="9">
        <v>4.3518397435466314</v>
      </c>
      <c r="CG88" s="9">
        <v>1.606447463112773</v>
      </c>
      <c r="CH88" s="9">
        <v>5.089806497974501</v>
      </c>
      <c r="CI88" s="9">
        <v>0.86687728246711693</v>
      </c>
      <c r="CJ88" s="9">
        <v>5.2340434149366084</v>
      </c>
      <c r="CK88" s="9">
        <v>1.0919238998505836</v>
      </c>
      <c r="CL88" s="9">
        <v>2.9993522462961204</v>
      </c>
      <c r="CM88" s="9">
        <v>0.45381899198348946</v>
      </c>
      <c r="CN88" s="9">
        <v>2.6982360545594051</v>
      </c>
      <c r="CO88" s="9">
        <v>0.4089473189724902</v>
      </c>
      <c r="CP88" s="9">
        <v>3.0953913243799089</v>
      </c>
      <c r="CQ88" s="9">
        <v>0.5609343895882215</v>
      </c>
      <c r="CR88" s="9">
        <v>0.71129430508528479</v>
      </c>
      <c r="CS88" s="9">
        <v>0.68782234126766195</v>
      </c>
      <c r="CT88" s="9">
        <v>0.14735851769039171</v>
      </c>
    </row>
    <row r="89" spans="1:98">
      <c r="A89" s="1" t="s">
        <v>271</v>
      </c>
      <c r="B89" s="1" t="s">
        <v>267</v>
      </c>
      <c r="C89" s="1" t="s">
        <v>802</v>
      </c>
      <c r="D89" s="55">
        <v>67.331963000000002</v>
      </c>
      <c r="E89" s="55">
        <v>3.6176170000000001</v>
      </c>
      <c r="I89" s="9">
        <v>210.88</v>
      </c>
      <c r="J89" s="1" t="s">
        <v>256</v>
      </c>
      <c r="K89" s="1" t="s">
        <v>52</v>
      </c>
      <c r="L89" s="1" t="s">
        <v>864</v>
      </c>
      <c r="M89" s="78" t="s">
        <v>862</v>
      </c>
      <c r="N89" s="78"/>
      <c r="P89" s="1" t="s">
        <v>262</v>
      </c>
      <c r="Q89" s="1" t="s">
        <v>269</v>
      </c>
      <c r="R89" s="4">
        <v>47.76</v>
      </c>
      <c r="S89" s="4">
        <v>2.7120000000000002</v>
      </c>
      <c r="T89" s="4">
        <v>15.35</v>
      </c>
      <c r="U89" s="4">
        <v>10.24</v>
      </c>
      <c r="W89" s="27">
        <v>0.224</v>
      </c>
      <c r="X89" s="4">
        <v>4.87</v>
      </c>
      <c r="Y89" s="4">
        <v>12.85</v>
      </c>
      <c r="Z89" s="4">
        <v>2.89</v>
      </c>
      <c r="AA89" s="4">
        <v>0.63</v>
      </c>
      <c r="AB89" s="4">
        <v>0.26400000000000001</v>
      </c>
      <c r="AC89" s="9">
        <v>2.19</v>
      </c>
      <c r="AD89" s="21">
        <f t="shared" si="80"/>
        <v>99.97999999999999</v>
      </c>
      <c r="AE89" s="21">
        <f t="shared" si="81"/>
        <v>9.2057599999999997</v>
      </c>
      <c r="AF89" s="23">
        <f t="shared" si="82"/>
        <v>0.48535673736037904</v>
      </c>
      <c r="AH89" s="16">
        <f t="shared" si="83"/>
        <v>48.839349626751208</v>
      </c>
      <c r="AI89" s="16">
        <f t="shared" si="84"/>
        <v>2.7732897024235612</v>
      </c>
      <c r="AJ89" s="16">
        <f t="shared" si="85"/>
        <v>15.696901523673178</v>
      </c>
      <c r="AK89" s="16">
        <f t="shared" si="86"/>
        <v>10.471418345434094</v>
      </c>
      <c r="AL89" s="16">
        <f t="shared" si="87"/>
        <v>0</v>
      </c>
      <c r="AM89" s="16">
        <f t="shared" si="88"/>
        <v>0.22906227630637083</v>
      </c>
      <c r="AN89" s="16">
        <f t="shared" si="89"/>
        <v>4.9800593107679729</v>
      </c>
      <c r="AO89" s="16">
        <f t="shared" si="90"/>
        <v>13.140402904182432</v>
      </c>
      <c r="AP89" s="16">
        <f t="shared" si="91"/>
        <v>2.9553124041313019</v>
      </c>
      <c r="AQ89" s="16">
        <f t="shared" si="92"/>
        <v>0.64423765211166795</v>
      </c>
      <c r="AR89" s="16">
        <f t="shared" si="93"/>
        <v>0.26996625421822279</v>
      </c>
      <c r="AS89" s="16">
        <f t="shared" si="94"/>
        <v>100</v>
      </c>
      <c r="AT89" s="16">
        <f t="shared" si="95"/>
        <v>9.4138050925452497</v>
      </c>
      <c r="AV89" s="1" t="s">
        <v>401</v>
      </c>
      <c r="AW89" s="69">
        <v>5.1496310543019561</v>
      </c>
      <c r="AX89" s="69">
        <v>0.7364159521551682</v>
      </c>
      <c r="AY89" s="69">
        <v>46.036382799708264</v>
      </c>
      <c r="AZ89" s="69">
        <v>430.90345944332313</v>
      </c>
      <c r="BA89" s="69"/>
      <c r="BB89" s="69">
        <v>229.03919349892143</v>
      </c>
      <c r="BC89" s="69"/>
      <c r="BD89" s="69">
        <v>50.047574089915209</v>
      </c>
      <c r="BE89" s="69"/>
      <c r="BF89" s="69">
        <v>89.64019485779643</v>
      </c>
      <c r="BG89" s="69"/>
      <c r="BH89" s="69">
        <v>168.52974775675929</v>
      </c>
      <c r="BI89" s="69"/>
      <c r="BJ89" s="69">
        <v>148.47902323453769</v>
      </c>
      <c r="BK89" s="69"/>
      <c r="BL89" s="69">
        <v>24.513557548085824</v>
      </c>
      <c r="BM89" s="69"/>
      <c r="BN89" s="69">
        <v>6.7396070370075121</v>
      </c>
      <c r="BP89" s="69">
        <v>277.25465511954957</v>
      </c>
      <c r="BQ89" s="69"/>
      <c r="BR89" s="69">
        <v>40.127048053617699</v>
      </c>
      <c r="BS89" s="69"/>
      <c r="BT89" s="69">
        <v>195.45854093060029</v>
      </c>
      <c r="BV89" s="9">
        <v>16.479532307925464</v>
      </c>
      <c r="BZ89" s="9">
        <v>3.6806939755136547E-2</v>
      </c>
      <c r="CA89" s="9">
        <v>129.08910560418988</v>
      </c>
      <c r="CB89" s="9">
        <v>15.63327184724375</v>
      </c>
      <c r="CC89" s="9">
        <v>38.075195607329533</v>
      </c>
      <c r="CD89" s="9">
        <v>5.1609753024516998</v>
      </c>
      <c r="CE89" s="9">
        <v>23.35663827852315</v>
      </c>
      <c r="CF89" s="9">
        <v>6.8811491943859888</v>
      </c>
      <c r="CG89" s="9">
        <v>2.3565134516193122</v>
      </c>
      <c r="CH89" s="9">
        <v>7.601991198988638</v>
      </c>
      <c r="CI89" s="9">
        <v>1.2735834105545218</v>
      </c>
      <c r="CJ89" s="9">
        <v>7.4710768768079543</v>
      </c>
      <c r="CK89" s="9">
        <v>1.5414205007053658</v>
      </c>
      <c r="CL89" s="9">
        <v>4.2311887068882408</v>
      </c>
      <c r="CM89" s="9">
        <v>0.62939017324598645</v>
      </c>
      <c r="CN89" s="9">
        <v>3.711682358412264</v>
      </c>
      <c r="CO89" s="9">
        <v>0.55627540606644232</v>
      </c>
      <c r="CP89" s="9">
        <v>5.213552990015617</v>
      </c>
      <c r="CQ89" s="9">
        <v>1.0932869315085785</v>
      </c>
      <c r="CR89" s="9">
        <v>1.7711658374321728</v>
      </c>
      <c r="CS89" s="9">
        <v>1.7781929864252193</v>
      </c>
      <c r="CT89" s="9">
        <v>0.52856648738942991</v>
      </c>
    </row>
    <row r="90" spans="1:98">
      <c r="A90" s="56" t="s">
        <v>656</v>
      </c>
      <c r="B90" s="16"/>
      <c r="C90" s="26"/>
      <c r="D90" s="30"/>
      <c r="E90" s="30"/>
      <c r="F90" s="16"/>
      <c r="G90" s="16"/>
      <c r="H90" s="16"/>
      <c r="I90" s="17"/>
      <c r="J90" s="16"/>
      <c r="K90" s="16"/>
      <c r="L90" s="16"/>
      <c r="M90" s="16"/>
      <c r="N90" s="16"/>
      <c r="O90" s="18"/>
      <c r="P90" s="12"/>
      <c r="Q90" s="16"/>
      <c r="R90" s="25"/>
      <c r="S90" s="25"/>
      <c r="T90" s="25"/>
      <c r="U90" s="25"/>
      <c r="V90" s="26"/>
      <c r="W90" s="25"/>
      <c r="X90" s="25"/>
      <c r="Y90" s="25"/>
      <c r="Z90" s="25"/>
      <c r="AA90" s="25"/>
      <c r="AB90" s="25"/>
      <c r="AC90" s="15"/>
      <c r="AD90" s="23"/>
      <c r="AE90" s="23"/>
      <c r="AF90" s="23"/>
      <c r="AG90" s="45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45"/>
      <c r="AV90" s="16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15"/>
      <c r="BP90" s="72"/>
      <c r="BQ90" s="72"/>
      <c r="BR90" s="72"/>
      <c r="BS90" s="72"/>
      <c r="BT90" s="72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</row>
    <row r="91" spans="1:98">
      <c r="A91" s="1" t="s">
        <v>271</v>
      </c>
      <c r="B91" s="1" t="s">
        <v>266</v>
      </c>
      <c r="C91" s="1" t="s">
        <v>754</v>
      </c>
      <c r="D91" s="55">
        <v>68.767222222222216</v>
      </c>
      <c r="E91" s="55">
        <v>5.8025000000000002</v>
      </c>
      <c r="I91" s="9">
        <v>387.83</v>
      </c>
      <c r="J91" s="1" t="s">
        <v>256</v>
      </c>
      <c r="K91" s="1" t="s">
        <v>52</v>
      </c>
      <c r="L91" s="1" t="s">
        <v>864</v>
      </c>
      <c r="M91" s="78" t="s">
        <v>862</v>
      </c>
      <c r="N91" s="78"/>
      <c r="P91" s="1" t="s">
        <v>815</v>
      </c>
      <c r="Q91" s="1" t="s">
        <v>286</v>
      </c>
      <c r="R91" s="4">
        <v>53.235999999999997</v>
      </c>
      <c r="S91" s="4">
        <v>1.0860000000000001</v>
      </c>
      <c r="T91" s="4">
        <v>11.397</v>
      </c>
      <c r="U91" s="4">
        <v>10.757999999999999</v>
      </c>
      <c r="W91" s="4">
        <v>0.56200000000000006</v>
      </c>
      <c r="X91" s="4">
        <v>8.1349999999999998</v>
      </c>
      <c r="Y91" s="4">
        <v>3.4609999999999999</v>
      </c>
      <c r="Z91" s="4">
        <v>2.6619999999999999</v>
      </c>
      <c r="AA91" s="4">
        <v>2.3740000000000001</v>
      </c>
      <c r="AB91" s="4">
        <v>0.184</v>
      </c>
      <c r="AC91" s="9">
        <v>7.4003725755194827</v>
      </c>
      <c r="AD91" s="21">
        <f t="shared" ref="AD91:AD109" si="96">SUM(R91:AB91)</f>
        <v>93.85499999999999</v>
      </c>
      <c r="AE91" s="21">
        <f>V91+0.899*U91</f>
        <v>9.671441999999999</v>
      </c>
      <c r="AF91" s="23">
        <f>(X91/40.3)/((X91/40.3)+(AE91/71.844))</f>
        <v>0.59992292056543706</v>
      </c>
      <c r="AH91" s="16">
        <f t="shared" ref="AH91:AR95" si="97">100*R91/SUM($R91:$AB91)</f>
        <v>56.72153854349795</v>
      </c>
      <c r="AI91" s="16">
        <f t="shared" si="97"/>
        <v>1.1571040434713122</v>
      </c>
      <c r="AJ91" s="16">
        <f t="shared" si="97"/>
        <v>12.1431996164296</v>
      </c>
      <c r="AK91" s="16">
        <f t="shared" si="97"/>
        <v>11.462362154387087</v>
      </c>
      <c r="AL91" s="16">
        <f t="shared" si="97"/>
        <v>0</v>
      </c>
      <c r="AM91" s="16">
        <f t="shared" si="97"/>
        <v>0.59879601512972147</v>
      </c>
      <c r="AN91" s="16">
        <f t="shared" si="97"/>
        <v>8.6676255926695447</v>
      </c>
      <c r="AO91" s="16">
        <f t="shared" si="97"/>
        <v>3.6876032177294764</v>
      </c>
      <c r="AP91" s="16">
        <f t="shared" si="97"/>
        <v>2.8362900218422036</v>
      </c>
      <c r="AQ91" s="16">
        <f t="shared" si="97"/>
        <v>2.5294337009216346</v>
      </c>
      <c r="AR91" s="16">
        <f t="shared" si="97"/>
        <v>0.19604709392147462</v>
      </c>
      <c r="AS91" s="16">
        <f>SUM(AH91:AR91)</f>
        <v>100</v>
      </c>
      <c r="AT91" s="16">
        <f>AL91+0.899*AK91</f>
        <v>10.304663576793992</v>
      </c>
      <c r="AV91" s="1" t="s">
        <v>400</v>
      </c>
      <c r="AW91" s="69">
        <v>39.25541675558955</v>
      </c>
      <c r="AX91" s="69"/>
      <c r="AY91" s="69">
        <v>55.708319100802768</v>
      </c>
      <c r="AZ91" s="69">
        <v>376.20009871458262</v>
      </c>
      <c r="BA91" s="69"/>
      <c r="BB91" s="69">
        <v>194.43629407124109</v>
      </c>
      <c r="BC91" s="69"/>
      <c r="BD91" s="69">
        <v>59.165367537594911</v>
      </c>
      <c r="BE91" s="69"/>
      <c r="BF91" s="69"/>
      <c r="BG91" s="69"/>
      <c r="BH91" s="69">
        <v>171.47887035649075</v>
      </c>
      <c r="BI91" s="69"/>
      <c r="BJ91" s="69">
        <v>87.432699355461779</v>
      </c>
      <c r="BK91" s="69"/>
      <c r="BL91" s="69">
        <v>18.557334281779902</v>
      </c>
      <c r="BM91" s="69"/>
      <c r="BN91" s="69">
        <v>13.898882424623011</v>
      </c>
      <c r="BP91" s="69">
        <v>109.96790282018881</v>
      </c>
      <c r="BQ91" s="69"/>
      <c r="BR91" s="69">
        <v>18.287453534914192</v>
      </c>
      <c r="BS91" s="69"/>
      <c r="BT91" s="69">
        <v>57.60371021248789</v>
      </c>
      <c r="BV91" s="9">
        <v>3.3394445911269024</v>
      </c>
      <c r="BZ91" s="9">
        <v>1.5191616447589987E-2</v>
      </c>
      <c r="CA91" s="9">
        <v>286.86272043377528</v>
      </c>
      <c r="CB91" s="9">
        <v>2.6858637364569962</v>
      </c>
      <c r="CC91" s="9">
        <v>7.1385056432157787</v>
      </c>
      <c r="CD91" s="9">
        <v>1.1031701234430835</v>
      </c>
      <c r="CE91" s="9">
        <v>6.0092558309912292</v>
      </c>
      <c r="CF91" s="9">
        <v>1.9773850629434473</v>
      </c>
      <c r="CG91" s="9">
        <v>0.77441072491724572</v>
      </c>
      <c r="CH91" s="9">
        <v>2.8649056109311823</v>
      </c>
      <c r="CI91" s="9">
        <v>0.4619903612255345</v>
      </c>
      <c r="CJ91" s="9">
        <v>3.2580164798568028</v>
      </c>
      <c r="CK91" s="9">
        <v>0.62273779925813211</v>
      </c>
      <c r="CL91" s="9">
        <v>1.9421425210649863</v>
      </c>
      <c r="CM91" s="9">
        <v>0.27209273972387371</v>
      </c>
      <c r="CN91" s="9">
        <v>1.6694903807554233</v>
      </c>
      <c r="CO91" s="9">
        <v>0.26080793809969188</v>
      </c>
      <c r="CP91" s="9">
        <v>1.5364476323649565</v>
      </c>
      <c r="CQ91" s="9">
        <v>0.20143406462647254</v>
      </c>
      <c r="CR91" s="9">
        <v>0.48280535467015118</v>
      </c>
      <c r="CS91" s="9">
        <v>0.23978857071541498</v>
      </c>
      <c r="CT91" s="9">
        <v>6.3116420543204627E-2</v>
      </c>
    </row>
    <row r="92" spans="1:98">
      <c r="A92" s="1" t="s">
        <v>271</v>
      </c>
      <c r="B92" s="1" t="s">
        <v>266</v>
      </c>
      <c r="C92" s="1" t="s">
        <v>755</v>
      </c>
      <c r="D92" s="55">
        <v>68.767222222222216</v>
      </c>
      <c r="E92" s="55">
        <v>5.8025000000000002</v>
      </c>
      <c r="I92" s="9">
        <v>391.22</v>
      </c>
      <c r="J92" s="1" t="s">
        <v>256</v>
      </c>
      <c r="K92" s="1" t="s">
        <v>52</v>
      </c>
      <c r="L92" s="1" t="s">
        <v>864</v>
      </c>
      <c r="M92" s="78" t="s">
        <v>862</v>
      </c>
      <c r="N92" s="78"/>
      <c r="P92" s="1" t="s">
        <v>815</v>
      </c>
      <c r="Q92" s="1" t="s">
        <v>286</v>
      </c>
      <c r="R92" s="4">
        <v>50.686999999999998</v>
      </c>
      <c r="S92" s="4">
        <v>1.3879999999999999</v>
      </c>
      <c r="T92" s="4">
        <v>14.589</v>
      </c>
      <c r="U92" s="4">
        <v>11.852</v>
      </c>
      <c r="W92" s="4">
        <v>0.33200000000000002</v>
      </c>
      <c r="X92" s="4">
        <v>7.6440000000000001</v>
      </c>
      <c r="Y92" s="4">
        <v>6.89</v>
      </c>
      <c r="Z92" s="4">
        <v>3.1320000000000001</v>
      </c>
      <c r="AA92" s="4">
        <v>0.71699999999999997</v>
      </c>
      <c r="AB92" s="4">
        <v>0.14799999999999999</v>
      </c>
      <c r="AC92" s="9">
        <v>2.9468267581474712</v>
      </c>
      <c r="AD92" s="21">
        <f t="shared" si="96"/>
        <v>97.379000000000005</v>
      </c>
      <c r="AE92" s="21">
        <f>V92+0.899*U92</f>
        <v>10.654948000000001</v>
      </c>
      <c r="AF92" s="23">
        <f>(X92/40.3)/((X92/40.3)+(AE92/71.844))</f>
        <v>0.56120213111749495</v>
      </c>
      <c r="AH92" s="16">
        <f t="shared" si="97"/>
        <v>52.051263619466205</v>
      </c>
      <c r="AI92" s="16">
        <f t="shared" si="97"/>
        <v>1.425358650222327</v>
      </c>
      <c r="AJ92" s="16">
        <f t="shared" si="97"/>
        <v>14.981669559145196</v>
      </c>
      <c r="AK92" s="16">
        <f t="shared" si="97"/>
        <v>12.171001961408518</v>
      </c>
      <c r="AL92" s="16">
        <f t="shared" si="97"/>
        <v>0</v>
      </c>
      <c r="AM92" s="16">
        <f t="shared" si="97"/>
        <v>0.34093593074482181</v>
      </c>
      <c r="AN92" s="16">
        <f t="shared" si="97"/>
        <v>7.8497417307633057</v>
      </c>
      <c r="AO92" s="16">
        <f t="shared" si="97"/>
        <v>7.0754474784091022</v>
      </c>
      <c r="AP92" s="16">
        <f t="shared" si="97"/>
        <v>3.2162992020866921</v>
      </c>
      <c r="AQ92" s="16">
        <f t="shared" si="97"/>
        <v>0.73629838055432895</v>
      </c>
      <c r="AR92" s="16">
        <f t="shared" si="97"/>
        <v>0.15198348719949883</v>
      </c>
      <c r="AS92" s="16">
        <f>SUM(AH92:AR92)</f>
        <v>100</v>
      </c>
      <c r="AT92" s="16">
        <f>AL92+0.899*AK92</f>
        <v>10.941730763306257</v>
      </c>
      <c r="AV92" s="1" t="s">
        <v>400</v>
      </c>
      <c r="AW92" s="69">
        <v>11.744406930789372</v>
      </c>
      <c r="AX92" s="69"/>
      <c r="AY92" s="69">
        <v>65.47336184243288</v>
      </c>
      <c r="AZ92" s="69">
        <v>437.71524320053527</v>
      </c>
      <c r="BA92" s="69"/>
      <c r="BB92" s="69">
        <v>251.22755108580753</v>
      </c>
      <c r="BC92" s="69"/>
      <c r="BD92" s="69">
        <v>64.81809759418519</v>
      </c>
      <c r="BE92" s="69"/>
      <c r="BF92" s="69"/>
      <c r="BG92" s="69"/>
      <c r="BH92" s="69">
        <v>168.00698574046618</v>
      </c>
      <c r="BI92" s="69"/>
      <c r="BJ92" s="69">
        <v>163.80762528918092</v>
      </c>
      <c r="BK92" s="69"/>
      <c r="BL92" s="69">
        <v>20.372487838936536</v>
      </c>
      <c r="BM92" s="69"/>
      <c r="BN92" s="69">
        <v>4.1953956134834982</v>
      </c>
      <c r="BP92" s="69">
        <v>120.14222761477029</v>
      </c>
      <c r="BQ92" s="69"/>
      <c r="BR92" s="69">
        <v>23.78337331280833</v>
      </c>
      <c r="BS92" s="69"/>
      <c r="BT92" s="69">
        <v>70.458287463357436</v>
      </c>
      <c r="BV92" s="9">
        <v>3.7502071904479735</v>
      </c>
      <c r="BZ92" s="9">
        <v>9.8531806803948598E-3</v>
      </c>
      <c r="CA92" s="9">
        <v>45.249202745086066</v>
      </c>
      <c r="CB92" s="9">
        <v>3.529638933265312</v>
      </c>
      <c r="CC92" s="9">
        <v>9.5766824391091525</v>
      </c>
      <c r="CD92" s="9">
        <v>1.552618593620686</v>
      </c>
      <c r="CE92" s="9">
        <v>7.5934549964964315</v>
      </c>
      <c r="CF92" s="9">
        <v>2.7178294349341612</v>
      </c>
      <c r="CG92" s="9">
        <v>0.9664674668124984</v>
      </c>
      <c r="CH92" s="9">
        <v>3.5363394574848215</v>
      </c>
      <c r="CI92" s="9">
        <v>0.62292772792592888</v>
      </c>
      <c r="CJ92" s="9">
        <v>4.4169404833335504</v>
      </c>
      <c r="CK92" s="9">
        <v>0.86955866297389184</v>
      </c>
      <c r="CL92" s="9">
        <v>2.64631460210519</v>
      </c>
      <c r="CM92" s="9">
        <v>0.39599802050662053</v>
      </c>
      <c r="CN92" s="9">
        <v>2.2467816906518712</v>
      </c>
      <c r="CO92" s="9">
        <v>0.34118504814305117</v>
      </c>
      <c r="CP92" s="9">
        <v>1.8094135819021449</v>
      </c>
      <c r="CQ92" s="9">
        <v>0.23096812277729478</v>
      </c>
      <c r="CR92" s="9">
        <v>0.62838930243809576</v>
      </c>
      <c r="CS92" s="9">
        <v>0.24277749697734574</v>
      </c>
      <c r="CT92" s="9">
        <v>9.6210143455584957E-2</v>
      </c>
    </row>
    <row r="93" spans="1:98">
      <c r="A93" s="1" t="s">
        <v>271</v>
      </c>
      <c r="B93" s="1" t="s">
        <v>266</v>
      </c>
      <c r="C93" s="1" t="s">
        <v>756</v>
      </c>
      <c r="D93" s="55">
        <v>68.767222222222216</v>
      </c>
      <c r="E93" s="55">
        <v>5.8025000000000002</v>
      </c>
      <c r="I93" s="9">
        <v>406.27499999999998</v>
      </c>
      <c r="J93" s="1" t="s">
        <v>256</v>
      </c>
      <c r="K93" s="1" t="s">
        <v>52</v>
      </c>
      <c r="L93" s="1" t="s">
        <v>864</v>
      </c>
      <c r="M93" s="78" t="s">
        <v>862</v>
      </c>
      <c r="N93" s="78"/>
      <c r="P93" s="1" t="s">
        <v>815</v>
      </c>
      <c r="Q93" s="1" t="s">
        <v>286</v>
      </c>
      <c r="R93" s="4">
        <v>50.542999999999999</v>
      </c>
      <c r="S93" s="4">
        <v>1.3320000000000001</v>
      </c>
      <c r="T93" s="4">
        <v>14.930999999999999</v>
      </c>
      <c r="U93" s="4">
        <v>11.722</v>
      </c>
      <c r="W93" s="4">
        <v>0.27600000000000002</v>
      </c>
      <c r="X93" s="4">
        <v>8.0340000000000007</v>
      </c>
      <c r="Y93" s="4">
        <v>7.782</v>
      </c>
      <c r="Z93" s="4">
        <v>2.8679999999999999</v>
      </c>
      <c r="AA93" s="4">
        <v>0.74199999999999999</v>
      </c>
      <c r="AB93" s="4">
        <v>0.122</v>
      </c>
      <c r="AC93" s="9">
        <v>4.6648012572348687</v>
      </c>
      <c r="AD93" s="21">
        <f t="shared" si="96"/>
        <v>98.35199999999999</v>
      </c>
      <c r="AE93" s="21">
        <f>V93+0.899*U93</f>
        <v>10.538078000000001</v>
      </c>
      <c r="AF93" s="23">
        <f>(X93/40.3)/((X93/40.3)+(AE93/71.844))</f>
        <v>0.57611204354894829</v>
      </c>
      <c r="AH93" s="16">
        <f t="shared" si="97"/>
        <v>51.389905645030105</v>
      </c>
      <c r="AI93" s="16">
        <f t="shared" si="97"/>
        <v>1.354319180087848</v>
      </c>
      <c r="AJ93" s="16">
        <f t="shared" si="97"/>
        <v>15.181185944363104</v>
      </c>
      <c r="AK93" s="16">
        <f t="shared" si="97"/>
        <v>11.918415487229545</v>
      </c>
      <c r="AL93" s="16">
        <f t="shared" si="97"/>
        <v>0</v>
      </c>
      <c r="AM93" s="16">
        <f t="shared" si="97"/>
        <v>0.28062469497315767</v>
      </c>
      <c r="AN93" s="16">
        <f t="shared" si="97"/>
        <v>8.1686188384577854</v>
      </c>
      <c r="AO93" s="16">
        <f t="shared" si="97"/>
        <v>7.9123962908735983</v>
      </c>
      <c r="AP93" s="16">
        <f t="shared" si="97"/>
        <v>2.9160566129819427</v>
      </c>
      <c r="AQ93" s="16">
        <f t="shared" si="97"/>
        <v>0.75443305677566308</v>
      </c>
      <c r="AR93" s="16">
        <f t="shared" si="97"/>
        <v>0.12404424922726534</v>
      </c>
      <c r="AS93" s="16">
        <f>SUM(AH93:AR93)</f>
        <v>100.00000000000003</v>
      </c>
      <c r="AT93" s="16">
        <f>AL93+0.899*AK93</f>
        <v>10.714655523019362</v>
      </c>
      <c r="AV93" s="1" t="s">
        <v>400</v>
      </c>
      <c r="AW93" s="69">
        <v>10.661920087959864</v>
      </c>
      <c r="AX93" s="69"/>
      <c r="AY93" s="69">
        <v>70.612424676796635</v>
      </c>
      <c r="AZ93" s="69">
        <v>449.93567141232222</v>
      </c>
      <c r="BA93" s="69"/>
      <c r="BB93" s="69">
        <v>242.60532692374582</v>
      </c>
      <c r="BC93" s="69"/>
      <c r="BD93" s="69">
        <v>67.121152804212798</v>
      </c>
      <c r="BE93" s="69"/>
      <c r="BF93" s="69"/>
      <c r="BG93" s="69"/>
      <c r="BH93" s="69">
        <v>172.90257455760417</v>
      </c>
      <c r="BI93" s="69"/>
      <c r="BJ93" s="69">
        <v>99.448894409221865</v>
      </c>
      <c r="BK93" s="69"/>
      <c r="BL93" s="69">
        <v>19.589803557834127</v>
      </c>
      <c r="BM93" s="69"/>
      <c r="BN93" s="69">
        <v>4.6632889262630242</v>
      </c>
      <c r="BP93" s="69">
        <v>116.40226669403162</v>
      </c>
      <c r="BQ93" s="69"/>
      <c r="BR93" s="69">
        <v>22.745528492012419</v>
      </c>
      <c r="BS93" s="69"/>
      <c r="BT93" s="69">
        <v>66.307041723841095</v>
      </c>
      <c r="BV93" s="9">
        <v>3.524258265819693</v>
      </c>
      <c r="BZ93" s="9">
        <v>1.2518324542667185E-2</v>
      </c>
      <c r="CA93" s="9">
        <v>35.917215373224209</v>
      </c>
      <c r="CB93" s="9">
        <v>3.1340523369612394</v>
      </c>
      <c r="CC93" s="9">
        <v>8.6024896237104382</v>
      </c>
      <c r="CD93" s="9">
        <v>1.3140406552733288</v>
      </c>
      <c r="CE93" s="9">
        <v>7.0685927784082248</v>
      </c>
      <c r="CF93" s="9">
        <v>2.3496562262382068</v>
      </c>
      <c r="CG93" s="9">
        <v>0.89443288958214173</v>
      </c>
      <c r="CH93" s="9">
        <v>3.0252910872891157</v>
      </c>
      <c r="CI93" s="9">
        <v>0.56101294718266814</v>
      </c>
      <c r="CJ93" s="9">
        <v>3.7339083340145498</v>
      </c>
      <c r="CK93" s="9">
        <v>0.76856912758932494</v>
      </c>
      <c r="CL93" s="9">
        <v>2.4448253700014493</v>
      </c>
      <c r="CM93" s="9">
        <v>0.3562274082520977</v>
      </c>
      <c r="CN93" s="9">
        <v>2.1715451053197077</v>
      </c>
      <c r="CO93" s="9">
        <v>0.33921328996925876</v>
      </c>
      <c r="CP93" s="9">
        <v>1.6828470333489935</v>
      </c>
      <c r="CQ93" s="9">
        <v>0.21378887178243924</v>
      </c>
      <c r="CR93" s="9">
        <v>0.52530308635455991</v>
      </c>
      <c r="CS93" s="9">
        <v>0.24574900138900888</v>
      </c>
      <c r="CT93" s="9">
        <v>6.2366957115520393E-2</v>
      </c>
    </row>
    <row r="94" spans="1:98">
      <c r="A94" s="1" t="s">
        <v>271</v>
      </c>
      <c r="B94" s="1" t="s">
        <v>266</v>
      </c>
      <c r="C94" s="1" t="s">
        <v>757</v>
      </c>
      <c r="D94" s="55">
        <v>68.767222222222216</v>
      </c>
      <c r="E94" s="55">
        <v>5.8025000000000002</v>
      </c>
      <c r="I94" s="9">
        <v>417.91</v>
      </c>
      <c r="J94" s="1" t="s">
        <v>256</v>
      </c>
      <c r="K94" s="1" t="s">
        <v>52</v>
      </c>
      <c r="L94" s="1" t="s">
        <v>864</v>
      </c>
      <c r="M94" s="78" t="s">
        <v>862</v>
      </c>
      <c r="N94" s="78"/>
      <c r="P94" s="1" t="s">
        <v>815</v>
      </c>
      <c r="Q94" s="1" t="s">
        <v>286</v>
      </c>
      <c r="R94" s="4">
        <v>38.875</v>
      </c>
      <c r="S94" s="4">
        <v>0.95599999999999996</v>
      </c>
      <c r="T94" s="4">
        <v>9.5389999999999997</v>
      </c>
      <c r="U94" s="4">
        <v>11.891</v>
      </c>
      <c r="W94" s="4">
        <v>0.28100000000000003</v>
      </c>
      <c r="X94" s="4">
        <v>5.8109999999999999</v>
      </c>
      <c r="Y94" s="4">
        <v>6.4020000000000001</v>
      </c>
      <c r="Z94" s="4">
        <v>1.8480000000000001</v>
      </c>
      <c r="AA94" s="4">
        <v>0.48599999999999999</v>
      </c>
      <c r="AB94" s="4">
        <v>0.10199999999999999</v>
      </c>
      <c r="AC94" s="9">
        <v>5.9979202258040578</v>
      </c>
      <c r="AD94" s="21">
        <f t="shared" si="96"/>
        <v>76.191000000000017</v>
      </c>
      <c r="AE94" s="21">
        <f>V94+0.899*U94</f>
        <v>10.690009</v>
      </c>
      <c r="AF94" s="23">
        <f>(X94/40.3)/((X94/40.3)+(AE94/71.844))</f>
        <v>0.49214783034430598</v>
      </c>
      <c r="AH94" s="16">
        <f t="shared" si="97"/>
        <v>51.023086716278812</v>
      </c>
      <c r="AI94" s="16">
        <f t="shared" si="97"/>
        <v>1.2547413736530557</v>
      </c>
      <c r="AJ94" s="16">
        <f t="shared" si="97"/>
        <v>12.519851426021443</v>
      </c>
      <c r="AK94" s="16">
        <f t="shared" si="97"/>
        <v>15.60683020304235</v>
      </c>
      <c r="AL94" s="16">
        <f t="shared" si="97"/>
        <v>0</v>
      </c>
      <c r="AM94" s="16">
        <f t="shared" si="97"/>
        <v>0.3688099644314945</v>
      </c>
      <c r="AN94" s="16">
        <f t="shared" si="97"/>
        <v>7.6268850651651761</v>
      </c>
      <c r="AO94" s="16">
        <f t="shared" si="97"/>
        <v>8.4025672323502771</v>
      </c>
      <c r="AP94" s="16">
        <f t="shared" si="97"/>
        <v>2.4254833248021415</v>
      </c>
      <c r="AQ94" s="16">
        <f t="shared" si="97"/>
        <v>0.63787061463952421</v>
      </c>
      <c r="AR94" s="16">
        <f t="shared" si="97"/>
        <v>0.13387407961570261</v>
      </c>
      <c r="AS94" s="16">
        <f>SUM(AH94:AR94)</f>
        <v>99.999999999999986</v>
      </c>
      <c r="AT94" s="16">
        <f>AL94+0.899*AK94</f>
        <v>14.030540352535073</v>
      </c>
      <c r="AV94" s="1" t="s">
        <v>400</v>
      </c>
      <c r="AW94" s="69">
        <v>11.286182085290896</v>
      </c>
      <c r="AX94" s="69"/>
      <c r="AY94" s="69">
        <v>61.430251943841235</v>
      </c>
      <c r="AZ94" s="69">
        <v>404.14382632267143</v>
      </c>
      <c r="BA94" s="69"/>
      <c r="BB94" s="69">
        <v>180.42577111032602</v>
      </c>
      <c r="BC94" s="69"/>
      <c r="BD94" s="69">
        <v>55.603473661386154</v>
      </c>
      <c r="BE94" s="69"/>
      <c r="BF94" s="69"/>
      <c r="BG94" s="69"/>
      <c r="BH94" s="69">
        <v>156.17308817084847</v>
      </c>
      <c r="BI94" s="69"/>
      <c r="BJ94" s="69">
        <v>96.981056783710684</v>
      </c>
      <c r="BK94" s="69"/>
      <c r="BL94" s="69">
        <v>18.558730262040697</v>
      </c>
      <c r="BM94" s="69"/>
      <c r="BN94" s="69">
        <v>4.336266043719065</v>
      </c>
      <c r="BP94" s="69">
        <v>107.20589868639409</v>
      </c>
      <c r="BQ94" s="69"/>
      <c r="BR94" s="69">
        <v>26.371248108645467</v>
      </c>
      <c r="BS94" s="69"/>
      <c r="BT94" s="69">
        <v>67.312711784867744</v>
      </c>
      <c r="BV94" s="9">
        <v>3.4550549793052077</v>
      </c>
      <c r="BZ94" s="9">
        <v>1.3220715440910472E-2</v>
      </c>
      <c r="CA94" s="9">
        <v>30.669217951354263</v>
      </c>
      <c r="CB94" s="9">
        <v>3.9820351735847028</v>
      </c>
      <c r="CC94" s="9">
        <v>9.5110737224163646</v>
      </c>
      <c r="CD94" s="9">
        <v>1.4823265193970154</v>
      </c>
      <c r="CE94" s="9">
        <v>7.498258946707022</v>
      </c>
      <c r="CF94" s="9">
        <v>2.4920117353963849</v>
      </c>
      <c r="CG94" s="9">
        <v>0.86664266543630419</v>
      </c>
      <c r="CH94" s="9">
        <v>3.4865955558632113</v>
      </c>
      <c r="CI94" s="9">
        <v>0.5834157327452868</v>
      </c>
      <c r="CJ94" s="9">
        <v>4.3298700733850595</v>
      </c>
      <c r="CK94" s="9">
        <v>0.8729429679451306</v>
      </c>
      <c r="CL94" s="9">
        <v>2.7670369091088149</v>
      </c>
      <c r="CM94" s="9">
        <v>0.40439464458788077</v>
      </c>
      <c r="CN94" s="9">
        <v>2.5032484706571969</v>
      </c>
      <c r="CO94" s="9">
        <v>0.38181388809490935</v>
      </c>
      <c r="CP94" s="9">
        <v>1.699586987488245</v>
      </c>
      <c r="CQ94" s="9">
        <v>0.18583337580434678</v>
      </c>
      <c r="CR94" s="9">
        <v>0.35251899834990674</v>
      </c>
      <c r="CS94" s="9">
        <v>0.2066281620013237</v>
      </c>
      <c r="CT94" s="9">
        <v>9.0922990243082716E-2</v>
      </c>
    </row>
    <row r="95" spans="1:98">
      <c r="A95" s="1" t="s">
        <v>271</v>
      </c>
      <c r="B95" s="1" t="s">
        <v>266</v>
      </c>
      <c r="C95" s="1" t="s">
        <v>758</v>
      </c>
      <c r="D95" s="55">
        <v>68.767222222222216</v>
      </c>
      <c r="E95" s="55">
        <v>5.8025000000000002</v>
      </c>
      <c r="I95" s="9">
        <v>431.43</v>
      </c>
      <c r="J95" s="1" t="s">
        <v>256</v>
      </c>
      <c r="K95" s="1" t="s">
        <v>52</v>
      </c>
      <c r="L95" s="1" t="s">
        <v>864</v>
      </c>
      <c r="M95" s="78" t="s">
        <v>862</v>
      </c>
      <c r="N95" s="78"/>
      <c r="P95" s="1" t="s">
        <v>815</v>
      </c>
      <c r="Q95" s="1" t="s">
        <v>286</v>
      </c>
      <c r="R95" s="4">
        <v>50.338000000000001</v>
      </c>
      <c r="S95" s="4">
        <v>1.1779999999999999</v>
      </c>
      <c r="T95" s="4">
        <v>14.59</v>
      </c>
      <c r="U95" s="4">
        <v>11.36</v>
      </c>
      <c r="W95" s="4">
        <v>0.28299999999999997</v>
      </c>
      <c r="X95" s="4">
        <v>9.1920000000000002</v>
      </c>
      <c r="Y95" s="4">
        <v>9.4779999999999998</v>
      </c>
      <c r="Z95" s="4">
        <v>2.4929999999999999</v>
      </c>
      <c r="AA95" s="4">
        <v>0.127</v>
      </c>
      <c r="AB95" s="4">
        <v>0.11</v>
      </c>
      <c r="AC95" s="9">
        <v>5.2787275730915368</v>
      </c>
      <c r="AD95" s="21">
        <f t="shared" si="96"/>
        <v>99.148999999999987</v>
      </c>
      <c r="AE95" s="21">
        <f>V95+0.899*U95</f>
        <v>10.21264</v>
      </c>
      <c r="AF95" s="23">
        <f>(X95/40.3)/((X95/40.3)+(AE95/71.844))</f>
        <v>0.61605880162779292</v>
      </c>
      <c r="AH95" s="16">
        <f t="shared" si="97"/>
        <v>50.770053152326305</v>
      </c>
      <c r="AI95" s="16">
        <f t="shared" si="97"/>
        <v>1.1881108231046205</v>
      </c>
      <c r="AJ95" s="16">
        <f t="shared" si="97"/>
        <v>14.715226578180317</v>
      </c>
      <c r="AK95" s="16">
        <f t="shared" si="97"/>
        <v>11.457503353538614</v>
      </c>
      <c r="AL95" s="16">
        <f t="shared" si="97"/>
        <v>0</v>
      </c>
      <c r="AM95" s="16">
        <f t="shared" si="97"/>
        <v>0.28542900079678063</v>
      </c>
      <c r="AN95" s="16">
        <f t="shared" si="97"/>
        <v>9.2708953191661045</v>
      </c>
      <c r="AO95" s="16">
        <f t="shared" si="97"/>
        <v>9.5593500690879392</v>
      </c>
      <c r="AP95" s="16">
        <f t="shared" si="97"/>
        <v>2.5143975229200497</v>
      </c>
      <c r="AQ95" s="16">
        <f t="shared" si="97"/>
        <v>0.12809004629396162</v>
      </c>
      <c r="AR95" s="16">
        <f t="shared" si="97"/>
        <v>0.1109441345853211</v>
      </c>
      <c r="AS95" s="16">
        <f>SUM(AH95:AR95)</f>
        <v>100.00000000000001</v>
      </c>
      <c r="AT95" s="16">
        <f>AL95+0.899*AK95</f>
        <v>10.300295514831214</v>
      </c>
      <c r="AV95" s="1" t="s">
        <v>400</v>
      </c>
      <c r="AW95" s="69">
        <v>3.5265567483377893</v>
      </c>
      <c r="AX95" s="69"/>
      <c r="AY95" s="69">
        <v>55.62078511047801</v>
      </c>
      <c r="AZ95" s="69">
        <v>346.80553412467714</v>
      </c>
      <c r="BA95" s="69"/>
      <c r="BB95" s="69">
        <v>301.81868068635231</v>
      </c>
      <c r="BC95" s="69"/>
      <c r="BD95" s="69">
        <v>53.134173118279634</v>
      </c>
      <c r="BE95" s="69"/>
      <c r="BF95" s="69"/>
      <c r="BG95" s="69"/>
      <c r="BH95" s="69">
        <v>147.09632495920985</v>
      </c>
      <c r="BI95" s="69"/>
      <c r="BJ95" s="69">
        <v>84.854845865409672</v>
      </c>
      <c r="BK95" s="69"/>
      <c r="BL95" s="69">
        <v>16.70938821728765</v>
      </c>
      <c r="BM95" s="69"/>
      <c r="BN95" s="69">
        <v>0.73085371945275368</v>
      </c>
      <c r="BP95" s="69">
        <v>138.7463934750933</v>
      </c>
      <c r="BQ95" s="69"/>
      <c r="BR95" s="69">
        <v>19.710784982021661</v>
      </c>
      <c r="BS95" s="69"/>
      <c r="BT95" s="69">
        <v>59.425149111227391</v>
      </c>
      <c r="BV95" s="9">
        <v>4.0570883140421046</v>
      </c>
      <c r="BZ95" s="9">
        <v>2.5010805815327167E-3</v>
      </c>
      <c r="CA95" s="9">
        <v>24.813824047952696</v>
      </c>
      <c r="CB95" s="9">
        <v>3.2911955538953142</v>
      </c>
      <c r="CC95" s="9">
        <v>8.5225132741030993</v>
      </c>
      <c r="CD95" s="9">
        <v>1.2951332587519548</v>
      </c>
      <c r="CE95" s="9">
        <v>6.6785362629568574</v>
      </c>
      <c r="CF95" s="9">
        <v>2.2768875705752376</v>
      </c>
      <c r="CG95" s="9">
        <v>0.81100645158128393</v>
      </c>
      <c r="CH95" s="9">
        <v>2.9226051203640719</v>
      </c>
      <c r="CI95" s="9">
        <v>0.48709517785799533</v>
      </c>
      <c r="CJ95" s="9">
        <v>3.4979154312586367</v>
      </c>
      <c r="CK95" s="9">
        <v>0.7254483965239843</v>
      </c>
      <c r="CL95" s="9">
        <v>2.1296605449990853</v>
      </c>
      <c r="CM95" s="9">
        <v>0.33128418296519813</v>
      </c>
      <c r="CN95" s="9">
        <v>2.0879564681919214</v>
      </c>
      <c r="CO95" s="9">
        <v>0.3110393048221437</v>
      </c>
      <c r="CP95" s="9">
        <v>1.4013984445492045</v>
      </c>
      <c r="CQ95" s="9">
        <v>0.24072164718840883</v>
      </c>
      <c r="CR95" s="9">
        <v>0.56714996665485951</v>
      </c>
      <c r="CS95" s="9">
        <v>0.2536681741649614</v>
      </c>
      <c r="CT95" s="9">
        <v>6.8401906273388616E-2</v>
      </c>
    </row>
    <row r="96" spans="1:98">
      <c r="A96" s="1" t="s">
        <v>271</v>
      </c>
      <c r="B96" s="1" t="s">
        <v>266</v>
      </c>
      <c r="C96" s="1" t="s">
        <v>803</v>
      </c>
      <c r="D96" s="55">
        <v>68.767222222222216</v>
      </c>
      <c r="E96" s="55">
        <v>5.8025000000000002</v>
      </c>
      <c r="I96" s="9">
        <v>382.09</v>
      </c>
      <c r="J96" s="1" t="s">
        <v>256</v>
      </c>
      <c r="K96" s="1" t="s">
        <v>52</v>
      </c>
      <c r="L96" s="1" t="s">
        <v>864</v>
      </c>
      <c r="M96" s="78" t="s">
        <v>862</v>
      </c>
      <c r="N96" s="78"/>
      <c r="P96" s="1" t="s">
        <v>815</v>
      </c>
      <c r="Q96" s="1" t="s">
        <v>269</v>
      </c>
      <c r="R96" s="4">
        <v>46.94</v>
      </c>
      <c r="S96" s="4">
        <v>2.3519999999999999</v>
      </c>
      <c r="T96" s="4">
        <v>15.04</v>
      </c>
      <c r="U96" s="4">
        <v>15.17</v>
      </c>
      <c r="W96" s="27">
        <v>0.496</v>
      </c>
      <c r="X96" s="4">
        <v>6.31</v>
      </c>
      <c r="Y96" s="4">
        <v>3.78</v>
      </c>
      <c r="Z96" s="4">
        <v>3.1</v>
      </c>
      <c r="AA96" s="4">
        <v>2.48</v>
      </c>
      <c r="AB96" s="4">
        <v>0.24</v>
      </c>
      <c r="AC96" s="9">
        <v>2.84</v>
      </c>
      <c r="AD96" s="21">
        <f t="shared" ref="AD96:AD101" si="98">SUM(R96:AC96)</f>
        <v>98.74799999999999</v>
      </c>
      <c r="AE96" s="21">
        <f t="shared" ref="AE96:AE101" si="99">V96+0.899*U96</f>
        <v>13.637830000000001</v>
      </c>
      <c r="AF96" s="23">
        <f t="shared" ref="AF96:AF101" si="100">(X96/40.3)/((X96/40.3)+(AE96/71.844))</f>
        <v>0.45200665500502735</v>
      </c>
      <c r="AH96" s="16">
        <f t="shared" ref="AH96:AR101" si="101">100*R96/SUM($R96:$AB96)</f>
        <v>48.942736789423201</v>
      </c>
      <c r="AI96" s="16">
        <f t="shared" si="101"/>
        <v>2.4523501689118743</v>
      </c>
      <c r="AJ96" s="16">
        <f t="shared" si="101"/>
        <v>15.681694957667768</v>
      </c>
      <c r="AK96" s="16">
        <f t="shared" si="101"/>
        <v>15.817241523126331</v>
      </c>
      <c r="AL96" s="16">
        <f t="shared" si="101"/>
        <v>0</v>
      </c>
      <c r="AM96" s="16">
        <f t="shared" si="101"/>
        <v>0.51716228051883062</v>
      </c>
      <c r="AN96" s="16">
        <f t="shared" si="101"/>
        <v>6.5792217541810913</v>
      </c>
      <c r="AO96" s="16">
        <f t="shared" si="101"/>
        <v>3.9412770571797977</v>
      </c>
      <c r="AP96" s="16">
        <f t="shared" si="101"/>
        <v>3.2322642532426915</v>
      </c>
      <c r="AQ96" s="16">
        <f t="shared" si="101"/>
        <v>2.5858114025941532</v>
      </c>
      <c r="AR96" s="16">
        <f t="shared" si="101"/>
        <v>0.25023981315427291</v>
      </c>
      <c r="AS96" s="16">
        <f t="shared" ref="AS96:AS101" si="102">SUM(AH96:AR96)</f>
        <v>100.00000000000001</v>
      </c>
      <c r="AT96" s="16">
        <f t="shared" ref="AT96:AT101" si="103">AL96+0.899*AK96</f>
        <v>14.219700129290572</v>
      </c>
      <c r="AV96" s="1" t="s">
        <v>401</v>
      </c>
      <c r="AW96" s="69">
        <v>6.6440667796167272</v>
      </c>
      <c r="AX96" s="69">
        <v>0.52108707941763222</v>
      </c>
      <c r="AY96" s="69">
        <v>47.401912062284012</v>
      </c>
      <c r="AZ96" s="69">
        <v>529.90263309447187</v>
      </c>
      <c r="BA96" s="69"/>
      <c r="BB96" s="69">
        <v>26.053108538150507</v>
      </c>
      <c r="BC96" s="69"/>
      <c r="BD96" s="69">
        <v>36.543609014542106</v>
      </c>
      <c r="BE96" s="69"/>
      <c r="BF96" s="69">
        <v>26.598506238564937</v>
      </c>
      <c r="BG96" s="69"/>
      <c r="BH96" s="69">
        <v>132.45731694898055</v>
      </c>
      <c r="BI96" s="69"/>
      <c r="BJ96" s="69">
        <v>180.30941832630515</v>
      </c>
      <c r="BK96" s="69"/>
      <c r="BL96" s="69">
        <v>22.23942599863804</v>
      </c>
      <c r="BM96" s="69"/>
      <c r="BN96" s="69">
        <v>11.445972078740406</v>
      </c>
      <c r="BP96" s="69">
        <v>531.97729318276924</v>
      </c>
      <c r="BQ96" s="69"/>
      <c r="BR96" s="69">
        <v>39.792284113873833</v>
      </c>
      <c r="BS96" s="69"/>
      <c r="BT96" s="69">
        <v>136.03068308627931</v>
      </c>
      <c r="BV96" s="9">
        <v>12.365678423298515</v>
      </c>
      <c r="BZ96" s="9">
        <v>1.6131226740391399E-2</v>
      </c>
      <c r="CA96" s="9">
        <v>9522.6998448911654</v>
      </c>
      <c r="CB96" s="9">
        <v>10.889056342935129</v>
      </c>
      <c r="CC96" s="9">
        <v>29.311769826181347</v>
      </c>
      <c r="CD96" s="9">
        <v>4.2603295844765272</v>
      </c>
      <c r="CE96" s="9">
        <v>21.359804695231297</v>
      </c>
      <c r="CF96" s="9">
        <v>6.4453064561707132</v>
      </c>
      <c r="CG96" s="9">
        <v>2.4875779842186834</v>
      </c>
      <c r="CH96" s="9">
        <v>8.0225003596114579</v>
      </c>
      <c r="CI96" s="9">
        <v>1.3228231284176188</v>
      </c>
      <c r="CJ96" s="9">
        <v>7.824780557472133</v>
      </c>
      <c r="CK96" s="9">
        <v>1.6575883968382612</v>
      </c>
      <c r="CL96" s="9">
        <v>4.6639139898339419</v>
      </c>
      <c r="CM96" s="9">
        <v>0.66520075835074188</v>
      </c>
      <c r="CN96" s="9">
        <v>4.0424251276461813</v>
      </c>
      <c r="CO96" s="9">
        <v>0.64223874014406834</v>
      </c>
      <c r="CP96" s="9">
        <v>3.5475295188109408</v>
      </c>
      <c r="CQ96" s="9">
        <v>0.80477606334862051</v>
      </c>
      <c r="CR96" s="9">
        <v>0.65927885968862265</v>
      </c>
      <c r="CS96" s="9">
        <v>0.89231152011664072</v>
      </c>
      <c r="CT96" s="9">
        <v>0.26511957015929138</v>
      </c>
    </row>
    <row r="97" spans="1:98">
      <c r="A97" s="1" t="s">
        <v>271</v>
      </c>
      <c r="B97" s="1" t="s">
        <v>266</v>
      </c>
      <c r="C97" s="1" t="s">
        <v>804</v>
      </c>
      <c r="D97" s="55">
        <v>68.767222222222216</v>
      </c>
      <c r="E97" s="55">
        <v>5.8025000000000002</v>
      </c>
      <c r="I97" s="9">
        <v>389.89</v>
      </c>
      <c r="J97" s="1" t="s">
        <v>256</v>
      </c>
      <c r="K97" s="1" t="s">
        <v>52</v>
      </c>
      <c r="L97" s="1" t="s">
        <v>864</v>
      </c>
      <c r="M97" s="78" t="s">
        <v>862</v>
      </c>
      <c r="N97" s="78"/>
      <c r="P97" s="1" t="s">
        <v>262</v>
      </c>
      <c r="Q97" s="1" t="s">
        <v>269</v>
      </c>
      <c r="R97" s="4">
        <v>47.8</v>
      </c>
      <c r="S97" s="4">
        <v>1.1120000000000001</v>
      </c>
      <c r="T97" s="4">
        <v>16.23</v>
      </c>
      <c r="U97" s="4">
        <v>9.81</v>
      </c>
      <c r="W97" s="27">
        <v>0.36299999999999999</v>
      </c>
      <c r="X97" s="4">
        <v>11.23</v>
      </c>
      <c r="Y97" s="4">
        <v>4.0599999999999996</v>
      </c>
      <c r="Z97" s="4">
        <v>2.21</v>
      </c>
      <c r="AA97" s="4">
        <v>2.37</v>
      </c>
      <c r="AB97" s="4">
        <v>0.09</v>
      </c>
      <c r="AC97" s="9">
        <v>5.58</v>
      </c>
      <c r="AD97" s="21">
        <f t="shared" si="98"/>
        <v>100.855</v>
      </c>
      <c r="AE97" s="21">
        <f t="shared" si="99"/>
        <v>8.8191900000000008</v>
      </c>
      <c r="AF97" s="23">
        <f t="shared" si="100"/>
        <v>0.69419481223370993</v>
      </c>
      <c r="AH97" s="16">
        <f t="shared" si="101"/>
        <v>50.170558908422983</v>
      </c>
      <c r="AI97" s="16">
        <f t="shared" si="101"/>
        <v>1.1671477302545266</v>
      </c>
      <c r="AJ97" s="16">
        <f t="shared" si="101"/>
        <v>17.034898976646549</v>
      </c>
      <c r="AK97" s="16">
        <f t="shared" si="101"/>
        <v>10.296510102335345</v>
      </c>
      <c r="AL97" s="16">
        <f t="shared" si="101"/>
        <v>0</v>
      </c>
      <c r="AM97" s="16">
        <f t="shared" si="101"/>
        <v>0.38100236158488582</v>
      </c>
      <c r="AN97" s="16">
        <f t="shared" si="101"/>
        <v>11.786932563631591</v>
      </c>
      <c r="AO97" s="16">
        <f t="shared" si="101"/>
        <v>4.2613487273681443</v>
      </c>
      <c r="AP97" s="16">
        <f t="shared" si="101"/>
        <v>2.3196011545526107</v>
      </c>
      <c r="AQ97" s="16">
        <f t="shared" si="101"/>
        <v>2.4875360797690895</v>
      </c>
      <c r="AR97" s="16">
        <f t="shared" si="101"/>
        <v>9.4463395434269209E-2</v>
      </c>
      <c r="AS97" s="16">
        <f t="shared" si="102"/>
        <v>100.00000000000001</v>
      </c>
      <c r="AT97" s="16">
        <f t="shared" si="103"/>
        <v>9.256562581999475</v>
      </c>
      <c r="AV97" s="1" t="s">
        <v>401</v>
      </c>
      <c r="AW97" s="69">
        <v>37.080252402329123</v>
      </c>
      <c r="AX97" s="69">
        <v>0.33957533479448526</v>
      </c>
      <c r="AY97" s="69">
        <v>53.787726086670901</v>
      </c>
      <c r="AZ97" s="69">
        <v>379.66372497146085</v>
      </c>
      <c r="BA97" s="69"/>
      <c r="BB97" s="69">
        <v>276.80388236818067</v>
      </c>
      <c r="BC97" s="69"/>
      <c r="BD97" s="69">
        <v>58.71074667911693</v>
      </c>
      <c r="BE97" s="69"/>
      <c r="BF97" s="69">
        <v>86.748804236184085</v>
      </c>
      <c r="BG97" s="69"/>
      <c r="BH97" s="69">
        <v>163.95318272223221</v>
      </c>
      <c r="BI97" s="69"/>
      <c r="BJ97" s="69">
        <v>84.770250467344937</v>
      </c>
      <c r="BK97" s="69"/>
      <c r="BL97" s="69">
        <v>17.026921285916419</v>
      </c>
      <c r="BM97" s="69"/>
      <c r="BN97" s="69">
        <v>11.092889595012659</v>
      </c>
      <c r="BP97" s="69">
        <v>112.20513353554242</v>
      </c>
      <c r="BQ97" s="69"/>
      <c r="BR97" s="69">
        <v>17.934200671622406</v>
      </c>
      <c r="BS97" s="69"/>
      <c r="BT97" s="69">
        <v>53.374661300128814</v>
      </c>
      <c r="BV97" s="9">
        <v>2.9188248502456648</v>
      </c>
      <c r="BZ97" s="9">
        <v>2.8893080375204452E-2</v>
      </c>
      <c r="CA97" s="9">
        <v>349.56751835210957</v>
      </c>
      <c r="CB97" s="9">
        <v>2.8970374068531117</v>
      </c>
      <c r="CC97" s="9">
        <v>7.7761942257768908</v>
      </c>
      <c r="CD97" s="9">
        <v>1.229832199492926</v>
      </c>
      <c r="CE97" s="9">
        <v>6.5616929374014781</v>
      </c>
      <c r="CF97" s="9">
        <v>2.2224444227766362</v>
      </c>
      <c r="CG97" s="9">
        <v>0.85007141379054352</v>
      </c>
      <c r="CH97" s="9">
        <v>2.980016724380584</v>
      </c>
      <c r="CI97" s="9">
        <v>0.53683156677708976</v>
      </c>
      <c r="CJ97" s="9">
        <v>3.319734522158329</v>
      </c>
      <c r="CK97" s="9">
        <v>0.72519813262612676</v>
      </c>
      <c r="CL97" s="9">
        <v>2.1005025329554701</v>
      </c>
      <c r="CM97" s="9">
        <v>0.31092243479184062</v>
      </c>
      <c r="CN97" s="9">
        <v>1.9459366817734254</v>
      </c>
      <c r="CO97" s="9">
        <v>0.29348434813083862</v>
      </c>
      <c r="CP97" s="9">
        <v>1.514556069816025</v>
      </c>
      <c r="CQ97" s="9">
        <v>0.20254238685257936</v>
      </c>
      <c r="CR97" s="9">
        <v>0.49552755006216059</v>
      </c>
      <c r="CS97" s="9">
        <v>0.22620445047701293</v>
      </c>
      <c r="CT97" s="9">
        <v>7.7194009510479236E-2</v>
      </c>
    </row>
    <row r="98" spans="1:98">
      <c r="A98" s="1" t="s">
        <v>271</v>
      </c>
      <c r="B98" s="1" t="s">
        <v>266</v>
      </c>
      <c r="C98" s="1" t="s">
        <v>805</v>
      </c>
      <c r="D98" s="55">
        <v>68.767222222222216</v>
      </c>
      <c r="E98" s="55">
        <v>5.8025000000000002</v>
      </c>
      <c r="I98" s="9">
        <v>400.40499999999997</v>
      </c>
      <c r="J98" s="1" t="s">
        <v>256</v>
      </c>
      <c r="K98" s="1" t="s">
        <v>52</v>
      </c>
      <c r="L98" s="1" t="s">
        <v>864</v>
      </c>
      <c r="M98" s="78" t="s">
        <v>862</v>
      </c>
      <c r="N98" s="78"/>
      <c r="P98" s="1" t="s">
        <v>262</v>
      </c>
      <c r="Q98" s="1" t="s">
        <v>269</v>
      </c>
      <c r="R98" s="4">
        <v>50.46</v>
      </c>
      <c r="S98" s="4">
        <v>1.24</v>
      </c>
      <c r="T98" s="4">
        <v>14.84</v>
      </c>
      <c r="U98" s="4">
        <v>11.91</v>
      </c>
      <c r="W98" s="27">
        <v>0.20100000000000001</v>
      </c>
      <c r="X98" s="4">
        <v>7.83</v>
      </c>
      <c r="Y98" s="4">
        <v>9.01</v>
      </c>
      <c r="Z98" s="4">
        <v>2.62</v>
      </c>
      <c r="AA98" s="4">
        <v>0.08</v>
      </c>
      <c r="AB98" s="4">
        <v>9.6000000000000002E-2</v>
      </c>
      <c r="AC98" s="9">
        <v>1.91</v>
      </c>
      <c r="AD98" s="21">
        <f t="shared" si="98"/>
        <v>100.197</v>
      </c>
      <c r="AE98" s="21">
        <f t="shared" si="99"/>
        <v>10.707090000000001</v>
      </c>
      <c r="AF98" s="23">
        <f t="shared" si="100"/>
        <v>0.56591462688307159</v>
      </c>
      <c r="AH98" s="16">
        <f t="shared" si="101"/>
        <v>51.339444687496815</v>
      </c>
      <c r="AI98" s="16">
        <f t="shared" si="101"/>
        <v>1.2616114033392005</v>
      </c>
      <c r="AJ98" s="16">
        <f t="shared" si="101"/>
        <v>15.098639698027204</v>
      </c>
      <c r="AK98" s="16">
        <f t="shared" si="101"/>
        <v>12.117574043362804</v>
      </c>
      <c r="AL98" s="16">
        <f t="shared" si="101"/>
        <v>0</v>
      </c>
      <c r="AM98" s="16">
        <f t="shared" si="101"/>
        <v>0.20450313876708009</v>
      </c>
      <c r="AN98" s="16">
        <f t="shared" si="101"/>
        <v>7.966465554956403</v>
      </c>
      <c r="AO98" s="16">
        <f t="shared" si="101"/>
        <v>9.1670312452308025</v>
      </c>
      <c r="AP98" s="16">
        <f t="shared" si="101"/>
        <v>2.6656628038296009</v>
      </c>
      <c r="AQ98" s="16">
        <f t="shared" si="101"/>
        <v>8.1394284086400023E-2</v>
      </c>
      <c r="AR98" s="16">
        <f t="shared" si="101"/>
        <v>9.7673140903680025E-2</v>
      </c>
      <c r="AS98" s="16">
        <f t="shared" si="102"/>
        <v>100</v>
      </c>
      <c r="AT98" s="16">
        <f t="shared" si="103"/>
        <v>10.893699064983162</v>
      </c>
      <c r="AV98" s="1" t="s">
        <v>401</v>
      </c>
      <c r="AW98" s="69">
        <v>5.0573662209559691</v>
      </c>
      <c r="AX98" s="69">
        <v>0.40314925871561136</v>
      </c>
      <c r="AY98" s="69">
        <v>50.618128404003251</v>
      </c>
      <c r="AZ98" s="69">
        <v>408.72895273473642</v>
      </c>
      <c r="BA98" s="69"/>
      <c r="BB98" s="69">
        <v>192.13550700955861</v>
      </c>
      <c r="BC98" s="69"/>
      <c r="BD98" s="69">
        <v>52.397532305610738</v>
      </c>
      <c r="BE98" s="69"/>
      <c r="BF98" s="69">
        <v>73.314064119603714</v>
      </c>
      <c r="BG98" s="69"/>
      <c r="BH98" s="69">
        <v>151.2497976931482</v>
      </c>
      <c r="BI98" s="69"/>
      <c r="BJ98" s="69">
        <v>96.618649793509462</v>
      </c>
      <c r="BK98" s="69"/>
      <c r="BL98" s="69">
        <v>16.95740104367205</v>
      </c>
      <c r="BM98" s="69"/>
      <c r="BN98" s="69">
        <v>0.52438448354898148</v>
      </c>
      <c r="BP98" s="69">
        <v>116.57779714411268</v>
      </c>
      <c r="BQ98" s="69"/>
      <c r="BR98" s="69">
        <v>23.098634733231851</v>
      </c>
      <c r="BS98" s="69"/>
      <c r="BT98" s="69">
        <v>62.574284870753097</v>
      </c>
      <c r="BV98" s="9">
        <v>3.1267403642895175</v>
      </c>
      <c r="BZ98" s="9">
        <v>1.2177186895299308E-2</v>
      </c>
      <c r="CA98" s="9">
        <v>23.270576567941376</v>
      </c>
      <c r="CB98" s="9">
        <v>3.0971928775422106</v>
      </c>
      <c r="CC98" s="9">
        <v>8.3160876617569741</v>
      </c>
      <c r="CD98" s="9">
        <v>1.3361043477582164</v>
      </c>
      <c r="CE98" s="9">
        <v>7.0056123117750611</v>
      </c>
      <c r="CF98" s="9">
        <v>2.4550677767591398</v>
      </c>
      <c r="CG98" s="9">
        <v>0.95591653389328968</v>
      </c>
      <c r="CH98" s="9">
        <v>3.3815821939512603</v>
      </c>
      <c r="CI98" s="9">
        <v>0.61598203114776118</v>
      </c>
      <c r="CJ98" s="9">
        <v>4.0004586742546575</v>
      </c>
      <c r="CK98" s="9">
        <v>0.88643856845933233</v>
      </c>
      <c r="CL98" s="9">
        <v>2.689571755716277</v>
      </c>
      <c r="CM98" s="9">
        <v>0.40655117315177075</v>
      </c>
      <c r="CN98" s="9">
        <v>2.4761766657258</v>
      </c>
      <c r="CO98" s="9">
        <v>0.38684666236135778</v>
      </c>
      <c r="CP98" s="9">
        <v>1.7539370187512668</v>
      </c>
      <c r="CQ98" s="9">
        <v>0.21091002543858103</v>
      </c>
      <c r="CR98" s="9">
        <v>0.39520872280785208</v>
      </c>
      <c r="CS98" s="9">
        <v>0.23496971913115924</v>
      </c>
      <c r="CT98" s="9">
        <v>7.7173634108350875E-2</v>
      </c>
    </row>
    <row r="99" spans="1:98">
      <c r="A99" s="1" t="s">
        <v>271</v>
      </c>
      <c r="B99" s="1" t="s">
        <v>266</v>
      </c>
      <c r="C99" s="1" t="s">
        <v>806</v>
      </c>
      <c r="D99" s="55">
        <v>68.767222222222216</v>
      </c>
      <c r="E99" s="55">
        <v>5.8025000000000002</v>
      </c>
      <c r="I99" s="9">
        <v>415.69499999999999</v>
      </c>
      <c r="J99" s="1" t="s">
        <v>256</v>
      </c>
      <c r="K99" s="1" t="s">
        <v>52</v>
      </c>
      <c r="L99" s="1" t="s">
        <v>864</v>
      </c>
      <c r="M99" s="78" t="s">
        <v>862</v>
      </c>
      <c r="N99" s="78"/>
      <c r="P99" s="1" t="s">
        <v>262</v>
      </c>
      <c r="Q99" s="1" t="s">
        <v>269</v>
      </c>
      <c r="R99" s="4">
        <v>48.1</v>
      </c>
      <c r="S99" s="4">
        <v>1.41</v>
      </c>
      <c r="T99" s="4">
        <v>16.649999999999999</v>
      </c>
      <c r="U99" s="4">
        <v>12.63</v>
      </c>
      <c r="W99" s="27">
        <v>0.252</v>
      </c>
      <c r="X99" s="4">
        <v>7.59</v>
      </c>
      <c r="Y99" s="4">
        <v>8.6199999999999992</v>
      </c>
      <c r="Z99" s="4">
        <v>2.94</v>
      </c>
      <c r="AA99" s="4">
        <v>0.08</v>
      </c>
      <c r="AB99" s="4">
        <v>0.112</v>
      </c>
      <c r="AC99" s="9">
        <v>1.99</v>
      </c>
      <c r="AD99" s="21">
        <f t="shared" si="98"/>
        <v>100.37399999999998</v>
      </c>
      <c r="AE99" s="21">
        <f t="shared" si="99"/>
        <v>11.354370000000001</v>
      </c>
      <c r="AF99" s="23">
        <f t="shared" si="100"/>
        <v>0.5437316055658431</v>
      </c>
      <c r="AH99" s="16">
        <f t="shared" si="101"/>
        <v>48.890063424947151</v>
      </c>
      <c r="AI99" s="16">
        <f t="shared" si="101"/>
        <v>1.4331598633924216</v>
      </c>
      <c r="AJ99" s="16">
        <f t="shared" si="101"/>
        <v>16.923483493250934</v>
      </c>
      <c r="AK99" s="16">
        <f t="shared" si="101"/>
        <v>12.837453244429991</v>
      </c>
      <c r="AL99" s="16">
        <f t="shared" si="101"/>
        <v>0</v>
      </c>
      <c r="AM99" s="16">
        <f t="shared" si="101"/>
        <v>0.25613920962758174</v>
      </c>
      <c r="AN99" s="16">
        <f t="shared" si="101"/>
        <v>7.7146690518783556</v>
      </c>
      <c r="AO99" s="16">
        <f t="shared" si="101"/>
        <v>8.7615872499593426</v>
      </c>
      <c r="AP99" s="16">
        <f t="shared" si="101"/>
        <v>2.9882907789884539</v>
      </c>
      <c r="AQ99" s="16">
        <f t="shared" si="101"/>
        <v>8.1314034802406912E-2</v>
      </c>
      <c r="AR99" s="16">
        <f t="shared" si="101"/>
        <v>0.11383964872336969</v>
      </c>
      <c r="AS99" s="16">
        <f t="shared" si="102"/>
        <v>100.00000000000001</v>
      </c>
      <c r="AT99" s="16">
        <f t="shared" si="103"/>
        <v>11.540870466742563</v>
      </c>
      <c r="AV99" s="1" t="s">
        <v>401</v>
      </c>
      <c r="AW99" s="69">
        <v>5.0444947227651431</v>
      </c>
      <c r="AX99" s="69">
        <v>0.48108377252584095</v>
      </c>
      <c r="AY99" s="69">
        <v>54.683408719590147</v>
      </c>
      <c r="AZ99" s="69">
        <v>454.39853129158138</v>
      </c>
      <c r="BA99" s="69"/>
      <c r="BB99" s="69">
        <v>209.76653731322264</v>
      </c>
      <c r="BC99" s="69"/>
      <c r="BD99" s="69">
        <v>45.396843152197675</v>
      </c>
      <c r="BE99" s="69"/>
      <c r="BF99" s="69">
        <v>66.595458917352389</v>
      </c>
      <c r="BG99" s="69"/>
      <c r="BH99" s="69">
        <v>164.58660923987586</v>
      </c>
      <c r="BI99" s="69"/>
      <c r="BJ99" s="69">
        <v>121.33612240054501</v>
      </c>
      <c r="BK99" s="69"/>
      <c r="BL99" s="69">
        <v>18.424948717397104</v>
      </c>
      <c r="BM99" s="69"/>
      <c r="BN99" s="69">
        <v>0.36803156565955319</v>
      </c>
      <c r="BP99" s="69">
        <v>132.4133414163548</v>
      </c>
      <c r="BQ99" s="69"/>
      <c r="BR99" s="69">
        <v>20.245182228986152</v>
      </c>
      <c r="BS99" s="69"/>
      <c r="BT99" s="69">
        <v>71.067885953638907</v>
      </c>
      <c r="BV99" s="9">
        <v>3.5627551437060414</v>
      </c>
      <c r="BZ99" s="9">
        <v>8.6389508951746716E-3</v>
      </c>
      <c r="CA99" s="9">
        <v>13.456698794522637</v>
      </c>
      <c r="CB99" s="9">
        <v>3.4254101696593948</v>
      </c>
      <c r="CC99" s="9">
        <v>9.308070129360889</v>
      </c>
      <c r="CD99" s="9">
        <v>1.4612640376099799</v>
      </c>
      <c r="CE99" s="9">
        <v>7.682171508042865</v>
      </c>
      <c r="CF99" s="9">
        <v>2.5858662077940662</v>
      </c>
      <c r="CG99" s="9">
        <v>1.0161832230340602</v>
      </c>
      <c r="CH99" s="9">
        <v>3.4232237513587238</v>
      </c>
      <c r="CI99" s="9">
        <v>0.6095150490599277</v>
      </c>
      <c r="CJ99" s="9">
        <v>3.7847470287513616</v>
      </c>
      <c r="CK99" s="9">
        <v>0.81163328195520235</v>
      </c>
      <c r="CL99" s="9">
        <v>2.3420111481125043</v>
      </c>
      <c r="CM99" s="9">
        <v>0.34691395944492559</v>
      </c>
      <c r="CN99" s="9">
        <v>2.1909555176586015</v>
      </c>
      <c r="CO99" s="9">
        <v>0.33626408793322432</v>
      </c>
      <c r="CP99" s="9">
        <v>1.9738930409207021</v>
      </c>
      <c r="CQ99" s="9">
        <v>0.23942914063002263</v>
      </c>
      <c r="CR99" s="9">
        <v>0.25071971741546867</v>
      </c>
      <c r="CS99" s="9">
        <v>0.25785490364288138</v>
      </c>
      <c r="CT99" s="9">
        <v>8.3712901725496683E-2</v>
      </c>
    </row>
    <row r="100" spans="1:98">
      <c r="A100" s="1" t="s">
        <v>271</v>
      </c>
      <c r="B100" s="1" t="s">
        <v>266</v>
      </c>
      <c r="C100" s="1" t="s">
        <v>807</v>
      </c>
      <c r="D100" s="55">
        <v>68.767222222222216</v>
      </c>
      <c r="E100" s="55">
        <v>5.8025000000000002</v>
      </c>
      <c r="I100" s="9">
        <v>425.56</v>
      </c>
      <c r="J100" s="1" t="s">
        <v>256</v>
      </c>
      <c r="K100" s="1" t="s">
        <v>52</v>
      </c>
      <c r="L100" s="1" t="s">
        <v>864</v>
      </c>
      <c r="M100" s="78" t="s">
        <v>862</v>
      </c>
      <c r="N100" s="78"/>
      <c r="P100" s="1" t="s">
        <v>262</v>
      </c>
      <c r="Q100" s="1" t="s">
        <v>269</v>
      </c>
      <c r="R100" s="4">
        <v>50.05</v>
      </c>
      <c r="S100" s="4">
        <v>1.1859999999999999</v>
      </c>
      <c r="T100" s="4">
        <v>13.98</v>
      </c>
      <c r="U100" s="4">
        <v>12.47</v>
      </c>
      <c r="W100" s="27">
        <v>0.20200000000000001</v>
      </c>
      <c r="X100" s="4">
        <v>8.6999999999999993</v>
      </c>
      <c r="Y100" s="4">
        <v>8.8000000000000007</v>
      </c>
      <c r="Z100" s="4">
        <v>2.41</v>
      </c>
      <c r="AA100" s="4">
        <v>0.11</v>
      </c>
      <c r="AB100" s="4">
        <v>8.1000000000000003E-2</v>
      </c>
      <c r="AC100" s="9">
        <v>1.84</v>
      </c>
      <c r="AD100" s="21">
        <f t="shared" si="98"/>
        <v>99.828999999999994</v>
      </c>
      <c r="AE100" s="21">
        <f t="shared" si="99"/>
        <v>11.21053</v>
      </c>
      <c r="AF100" s="23">
        <f t="shared" si="100"/>
        <v>0.58044858432104229</v>
      </c>
      <c r="AH100" s="16">
        <f t="shared" si="101"/>
        <v>51.077161722234131</v>
      </c>
      <c r="AI100" s="16">
        <f t="shared" si="101"/>
        <v>1.2103399361152782</v>
      </c>
      <c r="AJ100" s="16">
        <f t="shared" si="101"/>
        <v>14.266907510026638</v>
      </c>
      <c r="AK100" s="16">
        <f t="shared" si="101"/>
        <v>12.725918215309884</v>
      </c>
      <c r="AL100" s="16">
        <f t="shared" si="101"/>
        <v>0</v>
      </c>
      <c r="AM100" s="16">
        <f t="shared" si="101"/>
        <v>0.20614558777005587</v>
      </c>
      <c r="AN100" s="16">
        <f t="shared" si="101"/>
        <v>8.8785475920766608</v>
      </c>
      <c r="AO100" s="16">
        <f t="shared" si="101"/>
        <v>8.9805998632499584</v>
      </c>
      <c r="AP100" s="16">
        <f t="shared" si="101"/>
        <v>2.4594597352764089</v>
      </c>
      <c r="AQ100" s="16">
        <f t="shared" si="101"/>
        <v>0.11225749829062447</v>
      </c>
      <c r="AR100" s="16">
        <f t="shared" si="101"/>
        <v>8.2662339650368927E-2</v>
      </c>
      <c r="AS100" s="16">
        <f t="shared" si="102"/>
        <v>100.00000000000001</v>
      </c>
      <c r="AT100" s="16">
        <f t="shared" si="103"/>
        <v>11.440600475563587</v>
      </c>
      <c r="AV100" s="1" t="s">
        <v>401</v>
      </c>
      <c r="AW100" s="69">
        <v>4.8875761098802561</v>
      </c>
      <c r="AX100" s="69">
        <v>0.31113766235425039</v>
      </c>
      <c r="AY100" s="69">
        <v>48.963902610873319</v>
      </c>
      <c r="AZ100" s="69">
        <v>418.52801352065876</v>
      </c>
      <c r="BA100" s="69"/>
      <c r="BB100" s="69">
        <v>147.4330229051626</v>
      </c>
      <c r="BC100" s="69"/>
      <c r="BD100" s="69">
        <v>51.83456886989272</v>
      </c>
      <c r="BE100" s="69"/>
      <c r="BF100" s="69">
        <v>68.154465825663209</v>
      </c>
      <c r="BG100" s="69"/>
      <c r="BH100" s="69">
        <v>150.12419666800361</v>
      </c>
      <c r="BI100" s="69"/>
      <c r="BJ100" s="69">
        <v>84.184219416878136</v>
      </c>
      <c r="BK100" s="69"/>
      <c r="BL100" s="69">
        <v>16.114887345990937</v>
      </c>
      <c r="BM100" s="69"/>
      <c r="BN100" s="69">
        <v>1.4183435645647489</v>
      </c>
      <c r="BP100" s="69">
        <v>109.3255438349874</v>
      </c>
      <c r="BQ100" s="69"/>
      <c r="BR100" s="69">
        <v>18.63637796234379</v>
      </c>
      <c r="BS100" s="69"/>
      <c r="BT100" s="69">
        <v>52.59130102496227</v>
      </c>
      <c r="BV100" s="9">
        <v>2.6360744567110004</v>
      </c>
      <c r="BZ100" s="9">
        <v>1.235488075066349E-2</v>
      </c>
      <c r="CA100" s="9">
        <v>23.945234804801633</v>
      </c>
      <c r="CB100" s="9">
        <v>2.4410185315160051</v>
      </c>
      <c r="CC100" s="9">
        <v>6.5845340302172408</v>
      </c>
      <c r="CD100" s="9">
        <v>1.0551265527817382</v>
      </c>
      <c r="CE100" s="9">
        <v>5.6554630942280504</v>
      </c>
      <c r="CF100" s="9">
        <v>1.9975961739111807</v>
      </c>
      <c r="CG100" s="9">
        <v>0.79627263093406453</v>
      </c>
      <c r="CH100" s="9">
        <v>2.715198301633321</v>
      </c>
      <c r="CI100" s="9">
        <v>0.50033302013954717</v>
      </c>
      <c r="CJ100" s="9">
        <v>3.2440054156165172</v>
      </c>
      <c r="CK100" s="9">
        <v>0.72713729832603424</v>
      </c>
      <c r="CL100" s="9">
        <v>2.1575161063042705</v>
      </c>
      <c r="CM100" s="9">
        <v>0.32643101628276733</v>
      </c>
      <c r="CN100" s="9">
        <v>1.9700016700581382</v>
      </c>
      <c r="CO100" s="9">
        <v>0.3097786518579459</v>
      </c>
      <c r="CP100" s="9">
        <v>1.4840060940326913</v>
      </c>
      <c r="CQ100" s="9">
        <v>0.17644275651548819</v>
      </c>
      <c r="CR100" s="9">
        <v>0.18914960916280607</v>
      </c>
      <c r="CS100" s="9">
        <v>0.18768777258727856</v>
      </c>
      <c r="CT100" s="9">
        <v>6.5968335300192193E-2</v>
      </c>
    </row>
    <row r="101" spans="1:98">
      <c r="A101" s="1" t="s">
        <v>271</v>
      </c>
      <c r="B101" s="1" t="s">
        <v>266</v>
      </c>
      <c r="C101" s="1" t="s">
        <v>808</v>
      </c>
      <c r="D101" s="55">
        <v>68.767222222222202</v>
      </c>
      <c r="E101" s="55">
        <v>5.8025000000000002</v>
      </c>
      <c r="I101" s="9">
        <v>436.28</v>
      </c>
      <c r="J101" s="1" t="s">
        <v>256</v>
      </c>
      <c r="K101" s="1" t="s">
        <v>52</v>
      </c>
      <c r="L101" s="1" t="s">
        <v>864</v>
      </c>
      <c r="M101" s="78" t="s">
        <v>862</v>
      </c>
      <c r="N101" s="78"/>
      <c r="P101" s="1" t="s">
        <v>262</v>
      </c>
      <c r="Q101" s="1" t="s">
        <v>269</v>
      </c>
      <c r="R101" s="4">
        <v>46.61</v>
      </c>
      <c r="S101" s="4">
        <v>1.9950000000000001</v>
      </c>
      <c r="T101" s="4">
        <v>13.76</v>
      </c>
      <c r="U101" s="4">
        <v>15.58</v>
      </c>
      <c r="W101" s="27">
        <v>0.29699999999999999</v>
      </c>
      <c r="X101" s="4">
        <v>9.1</v>
      </c>
      <c r="Y101" s="4">
        <v>5.72</v>
      </c>
      <c r="Z101" s="4">
        <v>3.05</v>
      </c>
      <c r="AA101" s="4">
        <v>0.38</v>
      </c>
      <c r="AB101" s="4">
        <v>0.20599999999999999</v>
      </c>
      <c r="AC101" s="9">
        <v>2.93</v>
      </c>
      <c r="AD101" s="21">
        <f t="shared" si="98"/>
        <v>99.627999999999986</v>
      </c>
      <c r="AE101" s="21">
        <f t="shared" si="99"/>
        <v>14.00642</v>
      </c>
      <c r="AF101" s="23">
        <f t="shared" si="100"/>
        <v>0.53666015648885002</v>
      </c>
      <c r="AH101" s="16">
        <f t="shared" si="101"/>
        <v>48.201617406771611</v>
      </c>
      <c r="AI101" s="16">
        <f t="shared" si="101"/>
        <v>2.0631243665846246</v>
      </c>
      <c r="AJ101" s="16">
        <f t="shared" si="101"/>
        <v>14.22987031789696</v>
      </c>
      <c r="AK101" s="16">
        <f t="shared" si="101"/>
        <v>16.112018862851354</v>
      </c>
      <c r="AL101" s="16">
        <f t="shared" si="101"/>
        <v>0</v>
      </c>
      <c r="AM101" s="16">
        <f t="shared" si="101"/>
        <v>0.30714182299530501</v>
      </c>
      <c r="AN101" s="16">
        <f t="shared" si="101"/>
        <v>9.410742724771973</v>
      </c>
      <c r="AO101" s="16">
        <f t="shared" si="101"/>
        <v>5.9153239984280974</v>
      </c>
      <c r="AP101" s="16">
        <f t="shared" si="101"/>
        <v>3.1541500341268698</v>
      </c>
      <c r="AQ101" s="16">
        <f t="shared" si="101"/>
        <v>0.39297606982564282</v>
      </c>
      <c r="AR101" s="16">
        <f t="shared" si="101"/>
        <v>0.21303439574758529</v>
      </c>
      <c r="AS101" s="16">
        <f t="shared" si="102"/>
        <v>100.00000000000003</v>
      </c>
      <c r="AT101" s="16">
        <f t="shared" si="103"/>
        <v>14.484704957703368</v>
      </c>
      <c r="AV101" s="1" t="s">
        <v>401</v>
      </c>
      <c r="AW101" s="69">
        <v>5.4163846584916566</v>
      </c>
      <c r="AX101" s="69">
        <v>0.38082524673986717</v>
      </c>
      <c r="AY101" s="69">
        <v>42.098160115424498</v>
      </c>
      <c r="AZ101" s="69">
        <v>430.01973437597405</v>
      </c>
      <c r="BA101" s="69"/>
      <c r="BB101" s="69">
        <v>57.669958677890484</v>
      </c>
      <c r="BC101" s="69"/>
      <c r="BD101" s="69">
        <v>33.39195521333297</v>
      </c>
      <c r="BE101" s="69"/>
      <c r="BF101" s="69">
        <v>38.505865741675493</v>
      </c>
      <c r="BG101" s="69"/>
      <c r="BH101" s="69">
        <v>144.53040891848815</v>
      </c>
      <c r="BI101" s="69"/>
      <c r="BJ101" s="69">
        <v>110.41758623181178</v>
      </c>
      <c r="BK101" s="69"/>
      <c r="BL101" s="69">
        <v>18.881869716138866</v>
      </c>
      <c r="BM101" s="69"/>
      <c r="BN101" s="69">
        <v>1.6696029418958966</v>
      </c>
      <c r="BP101" s="69">
        <v>188.43355441534524</v>
      </c>
      <c r="BQ101" s="69"/>
      <c r="BR101" s="69">
        <v>26.67606935323899</v>
      </c>
      <c r="BS101" s="69"/>
      <c r="BT101" s="69">
        <v>111.39905090203084</v>
      </c>
      <c r="BV101" s="9">
        <v>10.748674668131088</v>
      </c>
      <c r="BZ101" s="9">
        <v>7.6329633683720061E-3</v>
      </c>
      <c r="CA101" s="9">
        <v>34.246574444037826</v>
      </c>
      <c r="CB101" s="9">
        <v>10.203282472261225</v>
      </c>
      <c r="CC101" s="9">
        <v>24.725115671530958</v>
      </c>
      <c r="CD101" s="9">
        <v>3.404525490381455</v>
      </c>
      <c r="CE101" s="9">
        <v>16.049549157964286</v>
      </c>
      <c r="CF101" s="9">
        <v>4.369607502739921</v>
      </c>
      <c r="CG101" s="9">
        <v>1.4861974944686958</v>
      </c>
      <c r="CH101" s="9">
        <v>5.1853033494045873</v>
      </c>
      <c r="CI101" s="9">
        <v>0.82890787537283706</v>
      </c>
      <c r="CJ101" s="9">
        <v>4.8849142570451747</v>
      </c>
      <c r="CK101" s="9">
        <v>1.0287649717509033</v>
      </c>
      <c r="CL101" s="9">
        <v>2.8241683709356229</v>
      </c>
      <c r="CM101" s="9">
        <v>0.40186060280072544</v>
      </c>
      <c r="CN101" s="9">
        <v>2.3886359679536477</v>
      </c>
      <c r="CO101" s="9">
        <v>0.35112394526462065</v>
      </c>
      <c r="CP101" s="9">
        <v>2.8523144457428202</v>
      </c>
      <c r="CQ101" s="9">
        <v>0.69981356223318991</v>
      </c>
      <c r="CR101" s="9">
        <v>0.62925690363686804</v>
      </c>
      <c r="CS101" s="9">
        <v>0.73249511546852175</v>
      </c>
      <c r="CT101" s="9">
        <v>0.28061882272291544</v>
      </c>
    </row>
    <row r="102" spans="1:98">
      <c r="A102" s="56" t="s">
        <v>657</v>
      </c>
      <c r="B102" s="16"/>
      <c r="C102" s="26"/>
      <c r="D102" s="30"/>
      <c r="E102" s="30"/>
      <c r="F102" s="16"/>
      <c r="G102" s="16"/>
      <c r="H102" s="16"/>
      <c r="I102" s="17"/>
      <c r="J102" s="16"/>
      <c r="K102" s="16"/>
      <c r="L102" s="16"/>
      <c r="M102" s="16"/>
      <c r="N102" s="16"/>
      <c r="O102" s="18"/>
      <c r="P102" s="12"/>
      <c r="Q102" s="16"/>
      <c r="R102" s="25"/>
      <c r="S102" s="25"/>
      <c r="T102" s="25"/>
      <c r="U102" s="25"/>
      <c r="V102" s="26"/>
      <c r="W102" s="25"/>
      <c r="X102" s="25"/>
      <c r="Y102" s="25"/>
      <c r="Z102" s="25"/>
      <c r="AA102" s="25"/>
      <c r="AB102" s="25"/>
      <c r="AC102" s="15"/>
      <c r="AD102" s="23"/>
      <c r="AE102" s="23"/>
      <c r="AF102" s="23"/>
      <c r="AG102" s="45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45"/>
      <c r="AV102" s="16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15"/>
      <c r="BP102" s="72"/>
      <c r="BQ102" s="72"/>
      <c r="BR102" s="72"/>
      <c r="BS102" s="72"/>
      <c r="BT102" s="72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</row>
    <row r="103" spans="1:98">
      <c r="A103" s="1" t="s">
        <v>271</v>
      </c>
      <c r="B103" s="1" t="s">
        <v>268</v>
      </c>
      <c r="C103" s="1" t="s">
        <v>759</v>
      </c>
      <c r="D103" s="55">
        <v>68.600277777777777</v>
      </c>
      <c r="E103" s="55">
        <v>4.6455555555555552</v>
      </c>
      <c r="I103" s="9">
        <v>167.37</v>
      </c>
      <c r="J103" s="1" t="s">
        <v>256</v>
      </c>
      <c r="K103" s="1" t="s">
        <v>52</v>
      </c>
      <c r="L103" s="1" t="s">
        <v>864</v>
      </c>
      <c r="M103" s="78" t="s">
        <v>862</v>
      </c>
      <c r="N103" s="78"/>
      <c r="P103" s="1" t="s">
        <v>815</v>
      </c>
      <c r="Q103" s="1" t="s">
        <v>286</v>
      </c>
      <c r="R103" s="4">
        <v>51.808</v>
      </c>
      <c r="S103" s="4">
        <v>0.81200000000000006</v>
      </c>
      <c r="T103" s="4">
        <v>15.016</v>
      </c>
      <c r="U103" s="4">
        <v>10.518000000000001</v>
      </c>
      <c r="W103" s="4">
        <v>0.20499999999999999</v>
      </c>
      <c r="X103" s="4">
        <v>8.8279999999999994</v>
      </c>
      <c r="Y103" s="4">
        <v>12.169</v>
      </c>
      <c r="Z103" s="4">
        <v>2.02</v>
      </c>
      <c r="AA103" s="4">
        <v>9.8000000000000004E-2</v>
      </c>
      <c r="AB103" s="4">
        <v>7.2999999999999995E-2</v>
      </c>
      <c r="AC103" s="9">
        <v>2.2806673209028303</v>
      </c>
      <c r="AD103" s="21">
        <f t="shared" si="96"/>
        <v>101.54699999999998</v>
      </c>
      <c r="AE103" s="21">
        <f t="shared" ref="AE103:AE109" si="104">V103+0.899*U103</f>
        <v>9.4556820000000013</v>
      </c>
      <c r="AF103" s="23">
        <f t="shared" ref="AF103:AF109" si="105">(X103/40.3)/((X103/40.3)+(AE103/71.844))</f>
        <v>0.62467947653677369</v>
      </c>
      <c r="AH103" s="16">
        <f t="shared" ref="AH103:AR109" si="106">100*R103/SUM($R103:$AB103)</f>
        <v>51.018740090795404</v>
      </c>
      <c r="AI103" s="16">
        <f t="shared" si="106"/>
        <v>0.79962972810619726</v>
      </c>
      <c r="AJ103" s="16">
        <f t="shared" si="106"/>
        <v>14.787241375914602</v>
      </c>
      <c r="AK103" s="16">
        <f t="shared" si="106"/>
        <v>10.357765369730275</v>
      </c>
      <c r="AL103" s="16">
        <f t="shared" si="106"/>
        <v>0</v>
      </c>
      <c r="AM103" s="16">
        <f t="shared" si="106"/>
        <v>0.20187696337656458</v>
      </c>
      <c r="AN103" s="16">
        <f t="shared" si="106"/>
        <v>8.6935113789673757</v>
      </c>
      <c r="AO103" s="16">
        <f t="shared" si="106"/>
        <v>11.983613499167875</v>
      </c>
      <c r="AP103" s="16">
        <f t="shared" si="106"/>
        <v>1.9892266635154168</v>
      </c>
      <c r="AQ103" s="16">
        <f t="shared" si="106"/>
        <v>9.6507036150747946E-2</v>
      </c>
      <c r="AR103" s="16">
        <f t="shared" si="106"/>
        <v>7.188789427555714E-2</v>
      </c>
      <c r="AS103" s="16">
        <f t="shared" ref="AS103:AS109" si="107">SUM(AH103:AR103)</f>
        <v>100.00000000000001</v>
      </c>
      <c r="AT103" s="16">
        <f t="shared" ref="AT103:AT109" si="108">AL103+0.899*AK103</f>
        <v>9.311631067387518</v>
      </c>
      <c r="AV103" s="1" t="s">
        <v>400</v>
      </c>
      <c r="AW103" s="69">
        <v>8.713619277946977</v>
      </c>
      <c r="AX103" s="69"/>
      <c r="AY103" s="69">
        <v>58.037712463482258</v>
      </c>
      <c r="AZ103" s="69">
        <v>315.6988247675896</v>
      </c>
      <c r="BA103" s="69"/>
      <c r="BB103" s="69">
        <v>178.06115558877525</v>
      </c>
      <c r="BC103" s="69"/>
      <c r="BD103" s="69">
        <v>54.165803920862267</v>
      </c>
      <c r="BE103" s="69"/>
      <c r="BF103" s="69"/>
      <c r="BG103" s="69"/>
      <c r="BH103" s="69">
        <v>142.86059303742397</v>
      </c>
      <c r="BI103" s="69"/>
      <c r="BJ103" s="69">
        <v>76.382946844024261</v>
      </c>
      <c r="BK103" s="69"/>
      <c r="BL103" s="69">
        <v>14.749327993120897</v>
      </c>
      <c r="BM103" s="69"/>
      <c r="BN103" s="69">
        <v>0.76009596044845573</v>
      </c>
      <c r="BP103" s="69">
        <v>71.396443432701702</v>
      </c>
      <c r="BQ103" s="69"/>
      <c r="BR103" s="69">
        <v>23.396339280425014</v>
      </c>
      <c r="BS103" s="69"/>
      <c r="BT103" s="69">
        <v>41.57694907436786</v>
      </c>
      <c r="BV103" s="9">
        <v>1.9301616311792258</v>
      </c>
      <c r="BZ103" s="9">
        <v>9.8599688226082526E-3</v>
      </c>
      <c r="CA103" s="9">
        <v>23.131451878594632</v>
      </c>
      <c r="CB103" s="9">
        <v>2.0722064192400418</v>
      </c>
      <c r="CC103" s="9">
        <v>5.2767930587952359</v>
      </c>
      <c r="CD103" s="9">
        <v>0.84467116200457637</v>
      </c>
      <c r="CE103" s="9">
        <v>4.6067893309498249</v>
      </c>
      <c r="CF103" s="9">
        <v>1.6577782052174181</v>
      </c>
      <c r="CG103" s="9">
        <v>0.6931792308737621</v>
      </c>
      <c r="CH103" s="9">
        <v>2.7692915483451168</v>
      </c>
      <c r="CI103" s="9">
        <v>0.51292265416422134</v>
      </c>
      <c r="CJ103" s="9">
        <v>3.6485217573079711</v>
      </c>
      <c r="CK103" s="9">
        <v>0.76347953156573301</v>
      </c>
      <c r="CL103" s="9">
        <v>2.3101698152553842</v>
      </c>
      <c r="CM103" s="9">
        <v>0.38220550756408606</v>
      </c>
      <c r="CN103" s="9">
        <v>2.3145575800164271</v>
      </c>
      <c r="CO103" s="9">
        <v>0.38297380541732373</v>
      </c>
      <c r="CP103" s="9">
        <v>1.127298014917915</v>
      </c>
      <c r="CQ103" s="9">
        <v>0.10618095442174595</v>
      </c>
      <c r="CR103" s="9">
        <v>0.30100934023171405</v>
      </c>
      <c r="CS103" s="9">
        <v>0.24018941492187801</v>
      </c>
      <c r="CT103" s="9">
        <v>0.11030699134882564</v>
      </c>
    </row>
    <row r="104" spans="1:98">
      <c r="A104" s="1" t="s">
        <v>271</v>
      </c>
      <c r="B104" s="1" t="s">
        <v>268</v>
      </c>
      <c r="C104" s="1" t="s">
        <v>760</v>
      </c>
      <c r="D104" s="55">
        <v>68.600277777777777</v>
      </c>
      <c r="E104" s="55">
        <v>4.6455555555555552</v>
      </c>
      <c r="I104" s="9">
        <v>177.01</v>
      </c>
      <c r="J104" s="1" t="s">
        <v>256</v>
      </c>
      <c r="K104" s="1" t="s">
        <v>52</v>
      </c>
      <c r="L104" s="1" t="s">
        <v>864</v>
      </c>
      <c r="M104" s="78" t="s">
        <v>862</v>
      </c>
      <c r="N104" s="78"/>
      <c r="P104" s="1" t="s">
        <v>815</v>
      </c>
      <c r="Q104" s="1" t="s">
        <v>286</v>
      </c>
      <c r="R104" s="4">
        <v>51.576999999999998</v>
      </c>
      <c r="S104" s="4">
        <v>0.875</v>
      </c>
      <c r="T104" s="4">
        <v>14.832000000000001</v>
      </c>
      <c r="U104" s="4">
        <v>11.006</v>
      </c>
      <c r="W104" s="4">
        <v>0.188</v>
      </c>
      <c r="X104" s="4">
        <v>9.8940000000000001</v>
      </c>
      <c r="Y104" s="4">
        <v>10.882999999999999</v>
      </c>
      <c r="Z104" s="4">
        <v>2.29</v>
      </c>
      <c r="AA104" s="4">
        <v>0.129</v>
      </c>
      <c r="AB104" s="4">
        <v>6.9000000000000006E-2</v>
      </c>
      <c r="AC104" s="9">
        <v>2.9008218414821436</v>
      </c>
      <c r="AD104" s="21">
        <f t="shared" si="96"/>
        <v>101.74300000000001</v>
      </c>
      <c r="AE104" s="21">
        <f t="shared" si="104"/>
        <v>9.8943940000000001</v>
      </c>
      <c r="AF104" s="23">
        <f t="shared" si="105"/>
        <v>0.64063143721175386</v>
      </c>
      <c r="AH104" s="16">
        <f t="shared" si="106"/>
        <v>50.693413797509407</v>
      </c>
      <c r="AI104" s="16">
        <f t="shared" si="106"/>
        <v>0.86001002525972292</v>
      </c>
      <c r="AJ104" s="16">
        <f t="shared" si="106"/>
        <v>14.577907079602527</v>
      </c>
      <c r="AK104" s="16">
        <f t="shared" si="106"/>
        <v>10.817451814866869</v>
      </c>
      <c r="AL104" s="16">
        <f t="shared" si="106"/>
        <v>0</v>
      </c>
      <c r="AM104" s="16">
        <f t="shared" si="106"/>
        <v>0.18477929685580333</v>
      </c>
      <c r="AN104" s="16">
        <f t="shared" si="106"/>
        <v>9.724501931336798</v>
      </c>
      <c r="AO104" s="16">
        <f t="shared" si="106"/>
        <v>10.69655897703036</v>
      </c>
      <c r="AP104" s="16">
        <f t="shared" si="106"/>
        <v>2.2507690946797321</v>
      </c>
      <c r="AQ104" s="16">
        <f t="shared" si="106"/>
        <v>0.12679004943829059</v>
      </c>
      <c r="AR104" s="16">
        <f t="shared" si="106"/>
        <v>6.7817933420481008E-2</v>
      </c>
      <c r="AS104" s="16">
        <f t="shared" si="107"/>
        <v>100</v>
      </c>
      <c r="AT104" s="16">
        <f t="shared" si="108"/>
        <v>9.7248891815653149</v>
      </c>
      <c r="AV104" s="1" t="s">
        <v>400</v>
      </c>
      <c r="AW104" s="69">
        <v>12.73210359318047</v>
      </c>
      <c r="AX104" s="69"/>
      <c r="AY104" s="69">
        <v>55.517367610304497</v>
      </c>
      <c r="AZ104" s="69">
        <v>321.87415097657873</v>
      </c>
      <c r="BA104" s="69"/>
      <c r="BB104" s="69">
        <v>81.285799207804033</v>
      </c>
      <c r="BC104" s="69"/>
      <c r="BD104" s="69">
        <v>53.017898749489895</v>
      </c>
      <c r="BE104" s="69"/>
      <c r="BF104" s="69"/>
      <c r="BG104" s="69"/>
      <c r="BH104" s="69">
        <v>151.09148489270748</v>
      </c>
      <c r="BI104" s="69"/>
      <c r="BJ104" s="69">
        <v>72.440531763035381</v>
      </c>
      <c r="BK104" s="69"/>
      <c r="BL104" s="69">
        <v>13.935663331262656</v>
      </c>
      <c r="BM104" s="69"/>
      <c r="BN104" s="69">
        <v>0.9713725373446267</v>
      </c>
      <c r="BP104" s="69">
        <v>70.757998244103447</v>
      </c>
      <c r="BQ104" s="69"/>
      <c r="BR104" s="69">
        <v>22.076446116371002</v>
      </c>
      <c r="BS104" s="69"/>
      <c r="BT104" s="69">
        <v>42.314577715671327</v>
      </c>
      <c r="BV104" s="9">
        <v>2.0108690153990811</v>
      </c>
      <c r="BZ104" s="9">
        <v>1.1698140483081881E-2</v>
      </c>
      <c r="CA104" s="9">
        <v>25.609934165297091</v>
      </c>
      <c r="CB104" s="9">
        <v>2.0249525379102731</v>
      </c>
      <c r="CC104" s="9">
        <v>5.4079325001075764</v>
      </c>
      <c r="CD104" s="9">
        <v>0.85643901093347952</v>
      </c>
      <c r="CE104" s="9">
        <v>4.7635018114124943</v>
      </c>
      <c r="CF104" s="9">
        <v>1.6325654252888713</v>
      </c>
      <c r="CG104" s="9">
        <v>0.67466912819186298</v>
      </c>
      <c r="CH104" s="9">
        <v>2.6727931664988502</v>
      </c>
      <c r="CI104" s="9">
        <v>0.48138141069504792</v>
      </c>
      <c r="CJ104" s="9">
        <v>3.6922086096610602</v>
      </c>
      <c r="CK104" s="9">
        <v>0.74027790066923993</v>
      </c>
      <c r="CL104" s="9">
        <v>2.4473670742373299</v>
      </c>
      <c r="CM104" s="9">
        <v>0.3714968210387451</v>
      </c>
      <c r="CN104" s="9">
        <v>2.3956530640598213</v>
      </c>
      <c r="CO104" s="9">
        <v>0.35482327762916976</v>
      </c>
      <c r="CP104" s="9">
        <v>1.0935881437254398</v>
      </c>
      <c r="CQ104" s="9">
        <v>0.11513666661205903</v>
      </c>
      <c r="CR104" s="9">
        <v>0.27899503936316922</v>
      </c>
      <c r="CS104" s="9">
        <v>0.21938262950944631</v>
      </c>
      <c r="CT104" s="9">
        <v>7.2971803062254745E-2</v>
      </c>
    </row>
    <row r="105" spans="1:98">
      <c r="A105" s="1" t="s">
        <v>271</v>
      </c>
      <c r="B105" s="1" t="s">
        <v>268</v>
      </c>
      <c r="C105" s="1" t="s">
        <v>761</v>
      </c>
      <c r="D105" s="55">
        <v>68.600277777777777</v>
      </c>
      <c r="E105" s="55">
        <v>4.6455555555555552</v>
      </c>
      <c r="I105" s="9">
        <v>188.84</v>
      </c>
      <c r="J105" s="1" t="s">
        <v>256</v>
      </c>
      <c r="K105" s="1" t="s">
        <v>52</v>
      </c>
      <c r="L105" s="1" t="s">
        <v>864</v>
      </c>
      <c r="M105" s="78" t="s">
        <v>862</v>
      </c>
      <c r="N105" s="78"/>
      <c r="P105" s="1" t="s">
        <v>815</v>
      </c>
      <c r="Q105" s="1" t="s">
        <v>286</v>
      </c>
      <c r="R105" s="4">
        <v>51.078000000000003</v>
      </c>
      <c r="S105" s="4">
        <v>0.99399999999999999</v>
      </c>
      <c r="T105" s="4">
        <v>16.027000000000001</v>
      </c>
      <c r="U105" s="4">
        <v>10.692</v>
      </c>
      <c r="W105" s="4">
        <v>0.16700000000000001</v>
      </c>
      <c r="X105" s="4">
        <v>9.4580000000000002</v>
      </c>
      <c r="Y105" s="4">
        <v>10.397</v>
      </c>
      <c r="Z105" s="4">
        <v>2.4830000000000001</v>
      </c>
      <c r="AA105" s="4">
        <v>0.123</v>
      </c>
      <c r="AB105" s="4">
        <v>9.6000000000000002E-2</v>
      </c>
      <c r="AC105" s="9">
        <v>3.433105507109703</v>
      </c>
      <c r="AD105" s="21">
        <f t="shared" si="96"/>
        <v>101.51500000000001</v>
      </c>
      <c r="AE105" s="21">
        <f t="shared" si="104"/>
        <v>9.612108000000001</v>
      </c>
      <c r="AF105" s="23">
        <f t="shared" si="105"/>
        <v>0.63691124932228349</v>
      </c>
      <c r="AH105" s="16">
        <f t="shared" si="106"/>
        <v>50.315716889129682</v>
      </c>
      <c r="AI105" s="16">
        <f t="shared" si="106"/>
        <v>0.97916564054573207</v>
      </c>
      <c r="AJ105" s="16">
        <f t="shared" si="106"/>
        <v>15.787814608678518</v>
      </c>
      <c r="AK105" s="16">
        <f t="shared" si="106"/>
        <v>10.532433630497955</v>
      </c>
      <c r="AL105" s="16">
        <f t="shared" si="106"/>
        <v>0</v>
      </c>
      <c r="AM105" s="16">
        <f t="shared" si="106"/>
        <v>0.16450770822045999</v>
      </c>
      <c r="AN105" s="16">
        <f t="shared" si="106"/>
        <v>9.316849726641383</v>
      </c>
      <c r="AO105" s="16">
        <f t="shared" si="106"/>
        <v>10.241836181845047</v>
      </c>
      <c r="AP105" s="16">
        <f t="shared" si="106"/>
        <v>2.445943949170073</v>
      </c>
      <c r="AQ105" s="16">
        <f t="shared" si="106"/>
        <v>0.12116435994680588</v>
      </c>
      <c r="AR105" s="16">
        <f t="shared" si="106"/>
        <v>9.4567305324336284E-2</v>
      </c>
      <c r="AS105" s="16">
        <f t="shared" si="107"/>
        <v>99.999999999999972</v>
      </c>
      <c r="AT105" s="16">
        <f t="shared" si="108"/>
        <v>9.4686578338176624</v>
      </c>
      <c r="AV105" s="1" t="s">
        <v>400</v>
      </c>
      <c r="AW105" s="69">
        <v>11.381154859371858</v>
      </c>
      <c r="AX105" s="69"/>
      <c r="AY105" s="69">
        <v>51.743864389915323</v>
      </c>
      <c r="AZ105" s="69">
        <v>318.89312273284611</v>
      </c>
      <c r="BA105" s="69"/>
      <c r="BB105" s="69">
        <v>193.8257151546425</v>
      </c>
      <c r="BC105" s="69"/>
      <c r="BD105" s="69">
        <v>48.708987128523503</v>
      </c>
      <c r="BE105" s="69"/>
      <c r="BF105" s="69"/>
      <c r="BG105" s="69"/>
      <c r="BH105" s="69">
        <v>111.94127968054232</v>
      </c>
      <c r="BI105" s="69"/>
      <c r="BJ105" s="69">
        <v>79.742884104951557</v>
      </c>
      <c r="BK105" s="69"/>
      <c r="BL105" s="69">
        <v>15.412049910319016</v>
      </c>
      <c r="BM105" s="69"/>
      <c r="BN105" s="69">
        <v>0.54753513975614776</v>
      </c>
      <c r="BP105" s="69">
        <v>84.940415877343483</v>
      </c>
      <c r="BQ105" s="69"/>
      <c r="BR105" s="69">
        <v>28.776777406474547</v>
      </c>
      <c r="BS105" s="69"/>
      <c r="BT105" s="69">
        <v>55.529403179752116</v>
      </c>
      <c r="BV105" s="9">
        <v>3.4043220998237813</v>
      </c>
      <c r="BZ105" s="9">
        <v>5.0867703023460119E-3</v>
      </c>
      <c r="CA105" s="9">
        <v>20.137532297183419</v>
      </c>
      <c r="CB105" s="9">
        <v>3.7299565075591166</v>
      </c>
      <c r="CC105" s="9">
        <v>9.2511268208098478</v>
      </c>
      <c r="CD105" s="9">
        <v>1.4032490861012021</v>
      </c>
      <c r="CE105" s="9">
        <v>6.8376260354617244</v>
      </c>
      <c r="CF105" s="9">
        <v>2.350491008609251</v>
      </c>
      <c r="CG105" s="9">
        <v>0.86460325383616088</v>
      </c>
      <c r="CH105" s="9">
        <v>3.6943518050965625</v>
      </c>
      <c r="CI105" s="9">
        <v>0.61203460445536917</v>
      </c>
      <c r="CJ105" s="9">
        <v>4.4169089511774731</v>
      </c>
      <c r="CK105" s="9">
        <v>0.91227340737493234</v>
      </c>
      <c r="CL105" s="9">
        <v>2.8775689264663078</v>
      </c>
      <c r="CM105" s="9">
        <v>0.44157565831064294</v>
      </c>
      <c r="CN105" s="9">
        <v>2.8216903357176593</v>
      </c>
      <c r="CO105" s="9">
        <v>0.43628392724459353</v>
      </c>
      <c r="CP105" s="9">
        <v>1.4379512446035507</v>
      </c>
      <c r="CQ105" s="9">
        <v>0.20727383517209202</v>
      </c>
      <c r="CR105" s="9">
        <v>0.51488552960073442</v>
      </c>
      <c r="CS105" s="9">
        <v>0.40478559628634564</v>
      </c>
      <c r="CT105" s="9">
        <v>0.18049656593303717</v>
      </c>
    </row>
    <row r="106" spans="1:98">
      <c r="A106" s="1" t="s">
        <v>271</v>
      </c>
      <c r="B106" s="1" t="s">
        <v>268</v>
      </c>
      <c r="C106" s="1" t="s">
        <v>762</v>
      </c>
      <c r="D106" s="55">
        <v>68.600277777777777</v>
      </c>
      <c r="E106" s="55">
        <v>4.6455555555555552</v>
      </c>
      <c r="I106" s="9">
        <v>195.67</v>
      </c>
      <c r="J106" s="1" t="s">
        <v>256</v>
      </c>
      <c r="K106" s="1" t="s">
        <v>52</v>
      </c>
      <c r="L106" s="1" t="s">
        <v>864</v>
      </c>
      <c r="M106" s="78" t="s">
        <v>862</v>
      </c>
      <c r="N106" s="78"/>
      <c r="P106" s="1" t="s">
        <v>815</v>
      </c>
      <c r="Q106" s="1" t="s">
        <v>286</v>
      </c>
      <c r="R106" s="4">
        <v>50.338999999999999</v>
      </c>
      <c r="S106" s="4">
        <v>1.347</v>
      </c>
      <c r="T106" s="4">
        <v>14.48</v>
      </c>
      <c r="U106" s="4">
        <v>12.010999999999999</v>
      </c>
      <c r="W106" s="4">
        <v>0.216</v>
      </c>
      <c r="X106" s="4">
        <v>8.9559999999999995</v>
      </c>
      <c r="Y106" s="4">
        <v>8.3249999999999993</v>
      </c>
      <c r="Z106" s="4">
        <v>3.1419999999999999</v>
      </c>
      <c r="AA106" s="4">
        <v>0.24199999999999999</v>
      </c>
      <c r="AB106" s="4">
        <v>0.105</v>
      </c>
      <c r="AC106" s="9">
        <v>5.5342227148569361</v>
      </c>
      <c r="AD106" s="21">
        <f t="shared" si="96"/>
        <v>99.162999999999997</v>
      </c>
      <c r="AE106" s="21">
        <f t="shared" si="104"/>
        <v>10.797889</v>
      </c>
      <c r="AF106" s="23">
        <f t="shared" si="105"/>
        <v>0.59655196956983403</v>
      </c>
      <c r="AH106" s="16">
        <f t="shared" si="106"/>
        <v>50.763893791030924</v>
      </c>
      <c r="AI106" s="16">
        <f t="shared" si="106"/>
        <v>1.3583695531599487</v>
      </c>
      <c r="AJ106" s="16">
        <f t="shared" si="106"/>
        <v>14.602220586307393</v>
      </c>
      <c r="AK106" s="16">
        <f t="shared" si="106"/>
        <v>12.112380625838266</v>
      </c>
      <c r="AL106" s="16">
        <f t="shared" si="106"/>
        <v>0</v>
      </c>
      <c r="AM106" s="16">
        <f t="shared" si="106"/>
        <v>0.21782318001674014</v>
      </c>
      <c r="AN106" s="16">
        <f t="shared" si="106"/>
        <v>9.0315944455089081</v>
      </c>
      <c r="AO106" s="16">
        <f t="shared" si="106"/>
        <v>8.3952683964785244</v>
      </c>
      <c r="AP106" s="16">
        <f t="shared" si="106"/>
        <v>3.1685205167249881</v>
      </c>
      <c r="AQ106" s="16">
        <f t="shared" si="106"/>
        <v>0.24404263687060698</v>
      </c>
      <c r="AR106" s="16">
        <f t="shared" si="106"/>
        <v>0.10588626806369311</v>
      </c>
      <c r="AS106" s="16">
        <f t="shared" si="107"/>
        <v>99.999999999999986</v>
      </c>
      <c r="AT106" s="16">
        <f t="shared" si="108"/>
        <v>10.889030182628602</v>
      </c>
      <c r="AV106" s="1" t="s">
        <v>400</v>
      </c>
      <c r="AW106" s="69">
        <v>12.302094800972633</v>
      </c>
      <c r="AX106" s="69"/>
      <c r="AY106" s="69">
        <v>59.95239076948355</v>
      </c>
      <c r="AZ106" s="69">
        <v>390.99188749635647</v>
      </c>
      <c r="BA106" s="69"/>
      <c r="BB106" s="69">
        <v>84.717720487818497</v>
      </c>
      <c r="BC106" s="69"/>
      <c r="BD106" s="69">
        <v>63.807271346866457</v>
      </c>
      <c r="BE106" s="69"/>
      <c r="BF106" s="69"/>
      <c r="BG106" s="69"/>
      <c r="BH106" s="69">
        <v>113.00084127038983</v>
      </c>
      <c r="BI106" s="69"/>
      <c r="BJ106" s="69">
        <v>104.25394144574433</v>
      </c>
      <c r="BK106" s="69"/>
      <c r="BL106" s="69">
        <v>17.686473554517818</v>
      </c>
      <c r="BM106" s="69"/>
      <c r="BN106" s="69">
        <v>1.4474490973337129</v>
      </c>
      <c r="BP106" s="69">
        <v>97.691194063561326</v>
      </c>
      <c r="BQ106" s="69"/>
      <c r="BR106" s="69">
        <v>30.131445321148565</v>
      </c>
      <c r="BS106" s="69"/>
      <c r="BT106" s="69">
        <v>71.36051118868572</v>
      </c>
      <c r="BV106" s="9">
        <v>4.3848087177003325</v>
      </c>
      <c r="BZ106" s="9">
        <v>1.4914582869074443E-2</v>
      </c>
      <c r="CA106" s="9">
        <v>29.064016904693506</v>
      </c>
      <c r="CB106" s="9">
        <v>5.1396425765181446</v>
      </c>
      <c r="CC106" s="9">
        <v>12.423603433123946</v>
      </c>
      <c r="CD106" s="9">
        <v>1.7714777593073421</v>
      </c>
      <c r="CE106" s="9">
        <v>8.7966346389794836</v>
      </c>
      <c r="CF106" s="9">
        <v>2.9313067673000708</v>
      </c>
      <c r="CG106" s="9">
        <v>1.0249485455241911</v>
      </c>
      <c r="CH106" s="9">
        <v>4.1807136078566964</v>
      </c>
      <c r="CI106" s="9">
        <v>0.70248764094090499</v>
      </c>
      <c r="CJ106" s="9">
        <v>5.0113935036350199</v>
      </c>
      <c r="CK106" s="9">
        <v>0.98827417598044176</v>
      </c>
      <c r="CL106" s="9">
        <v>2.9086018823820279</v>
      </c>
      <c r="CM106" s="9">
        <v>0.46171955611249987</v>
      </c>
      <c r="CN106" s="9">
        <v>2.7434603102333557</v>
      </c>
      <c r="CO106" s="9">
        <v>0.41547412825802837</v>
      </c>
      <c r="CP106" s="9">
        <v>1.8056741068875495</v>
      </c>
      <c r="CQ106" s="9">
        <v>0.26212748816479498</v>
      </c>
      <c r="CR106" s="9">
        <v>0.82877872646750483</v>
      </c>
      <c r="CS106" s="9">
        <v>0.52850248413877998</v>
      </c>
      <c r="CT106" s="9">
        <v>0.12408725016001466</v>
      </c>
    </row>
    <row r="107" spans="1:98">
      <c r="A107" s="1" t="s">
        <v>271</v>
      </c>
      <c r="B107" s="1" t="s">
        <v>268</v>
      </c>
      <c r="C107" s="1" t="s">
        <v>763</v>
      </c>
      <c r="D107" s="55">
        <v>68.600277777777777</v>
      </c>
      <c r="E107" s="55">
        <v>4.6455555555555552</v>
      </c>
      <c r="I107" s="9">
        <v>206.85</v>
      </c>
      <c r="J107" s="1" t="s">
        <v>256</v>
      </c>
      <c r="K107" s="1" t="s">
        <v>52</v>
      </c>
      <c r="L107" s="1" t="s">
        <v>864</v>
      </c>
      <c r="M107" s="78" t="s">
        <v>862</v>
      </c>
      <c r="N107" s="78"/>
      <c r="P107" s="1" t="s">
        <v>815</v>
      </c>
      <c r="Q107" s="1" t="s">
        <v>286</v>
      </c>
      <c r="R107" s="4">
        <v>52.142000000000003</v>
      </c>
      <c r="S107" s="4">
        <v>1.1359999999999999</v>
      </c>
      <c r="T107" s="4">
        <v>13.458</v>
      </c>
      <c r="U107" s="4">
        <v>12.157999999999999</v>
      </c>
      <c r="W107" s="4">
        <v>0.16200000000000001</v>
      </c>
      <c r="X107" s="4">
        <v>9.8490000000000002</v>
      </c>
      <c r="Y107" s="4">
        <v>8.4719999999999995</v>
      </c>
      <c r="Z107" s="4">
        <v>2.6179999999999999</v>
      </c>
      <c r="AA107" s="4">
        <v>0.28199999999999997</v>
      </c>
      <c r="AB107" s="4">
        <v>0.08</v>
      </c>
      <c r="AC107" s="9">
        <v>4.157600248679004</v>
      </c>
      <c r="AD107" s="21">
        <f t="shared" si="96"/>
        <v>100.357</v>
      </c>
      <c r="AE107" s="21">
        <f t="shared" si="104"/>
        <v>10.930042</v>
      </c>
      <c r="AF107" s="23">
        <f t="shared" si="105"/>
        <v>0.61633016289947096</v>
      </c>
      <c r="AH107" s="16">
        <f t="shared" si="106"/>
        <v>51.956515240591095</v>
      </c>
      <c r="AI107" s="16">
        <f t="shared" si="106"/>
        <v>1.13195890670307</v>
      </c>
      <c r="AJ107" s="16">
        <f t="shared" si="106"/>
        <v>13.410125850712955</v>
      </c>
      <c r="AK107" s="16">
        <f t="shared" si="106"/>
        <v>12.114750341281624</v>
      </c>
      <c r="AL107" s="16">
        <f t="shared" si="106"/>
        <v>0</v>
      </c>
      <c r="AM107" s="16">
        <f t="shared" si="106"/>
        <v>0.16142371732913499</v>
      </c>
      <c r="AN107" s="16">
        <f t="shared" si="106"/>
        <v>9.8139641479916691</v>
      </c>
      <c r="AO107" s="16">
        <f t="shared" si="106"/>
        <v>8.4418625506940224</v>
      </c>
      <c r="AP107" s="16">
        <f t="shared" si="106"/>
        <v>2.6086869874547864</v>
      </c>
      <c r="AQ107" s="16">
        <f t="shared" si="106"/>
        <v>0.28099684127664237</v>
      </c>
      <c r="AR107" s="16">
        <f t="shared" si="106"/>
        <v>7.9715415965004935E-2</v>
      </c>
      <c r="AS107" s="16">
        <f t="shared" si="107"/>
        <v>100.00000000000001</v>
      </c>
      <c r="AT107" s="16">
        <f t="shared" si="108"/>
        <v>10.89116055681218</v>
      </c>
      <c r="AV107" s="1" t="s">
        <v>400</v>
      </c>
      <c r="AW107" s="69">
        <v>20.459861377844625</v>
      </c>
      <c r="AX107" s="69"/>
      <c r="AY107" s="69">
        <v>53.36628471105292</v>
      </c>
      <c r="AZ107" s="69">
        <v>337.23116425435217</v>
      </c>
      <c r="BA107" s="69"/>
      <c r="BB107" s="69">
        <v>77.449951211172475</v>
      </c>
      <c r="BC107" s="69"/>
      <c r="BD107" s="69">
        <v>48.638170734510616</v>
      </c>
      <c r="BE107" s="69"/>
      <c r="BF107" s="69"/>
      <c r="BG107" s="69"/>
      <c r="BH107" s="69">
        <v>94.081728975161795</v>
      </c>
      <c r="BI107" s="69"/>
      <c r="BJ107" s="69">
        <v>81.173081863282277</v>
      </c>
      <c r="BK107" s="69"/>
      <c r="BL107" s="69">
        <v>16.034992126509547</v>
      </c>
      <c r="BM107" s="69"/>
      <c r="BN107" s="69">
        <v>4.7520925327230517</v>
      </c>
      <c r="BP107" s="69">
        <v>85.806684976727567</v>
      </c>
      <c r="BQ107" s="69"/>
      <c r="BR107" s="69">
        <v>29.772894211750032</v>
      </c>
      <c r="BS107" s="69"/>
      <c r="BT107" s="69">
        <v>68.979948894836753</v>
      </c>
      <c r="BV107" s="9">
        <v>4.539421418527688</v>
      </c>
      <c r="BZ107" s="9">
        <v>2.1763638290784783E-2</v>
      </c>
      <c r="CA107" s="9">
        <v>54.685090112231514</v>
      </c>
      <c r="CB107" s="9">
        <v>4.5714946497781535</v>
      </c>
      <c r="CC107" s="9">
        <v>11.158395929990519</v>
      </c>
      <c r="CD107" s="9">
        <v>1.5740807340095526</v>
      </c>
      <c r="CE107" s="9">
        <v>7.760458521323895</v>
      </c>
      <c r="CF107" s="9">
        <v>2.5034457531386667</v>
      </c>
      <c r="CG107" s="9">
        <v>0.81346323425421097</v>
      </c>
      <c r="CH107" s="9">
        <v>3.6847504140054474</v>
      </c>
      <c r="CI107" s="9">
        <v>0.6385435268609142</v>
      </c>
      <c r="CJ107" s="9">
        <v>4.8468250354436568</v>
      </c>
      <c r="CK107" s="9">
        <v>0.9443870173419564</v>
      </c>
      <c r="CL107" s="9">
        <v>3.0239283976396774</v>
      </c>
      <c r="CM107" s="9">
        <v>0.47266149580304873</v>
      </c>
      <c r="CN107" s="9">
        <v>2.7789203761149062</v>
      </c>
      <c r="CO107" s="9">
        <v>0.45150643461838513</v>
      </c>
      <c r="CP107" s="9">
        <v>1.7937006708716496</v>
      </c>
      <c r="CQ107" s="9">
        <v>0.25753005152868985</v>
      </c>
      <c r="CR107" s="9">
        <v>0.65723747261271703</v>
      </c>
      <c r="CS107" s="9">
        <v>0.73055190093913458</v>
      </c>
      <c r="CT107" s="9">
        <v>0.16320077029085012</v>
      </c>
    </row>
    <row r="108" spans="1:98">
      <c r="A108" s="1" t="s">
        <v>271</v>
      </c>
      <c r="B108" s="1" t="s">
        <v>268</v>
      </c>
      <c r="C108" s="1" t="s">
        <v>764</v>
      </c>
      <c r="D108" s="55">
        <v>68.600277777777777</v>
      </c>
      <c r="E108" s="55">
        <v>4.6455555555555552</v>
      </c>
      <c r="I108" s="9">
        <v>241.22</v>
      </c>
      <c r="J108" s="1" t="s">
        <v>256</v>
      </c>
      <c r="K108" s="1" t="s">
        <v>52</v>
      </c>
      <c r="L108" s="1" t="s">
        <v>864</v>
      </c>
      <c r="M108" s="78" t="s">
        <v>862</v>
      </c>
      <c r="N108" s="78"/>
      <c r="P108" s="1" t="s">
        <v>815</v>
      </c>
      <c r="Q108" s="1" t="s">
        <v>286</v>
      </c>
      <c r="R108" s="4">
        <v>51.767000000000003</v>
      </c>
      <c r="S108" s="4">
        <v>1.1319999999999999</v>
      </c>
      <c r="T108" s="4">
        <v>13.412000000000001</v>
      </c>
      <c r="U108" s="4">
        <v>12.38</v>
      </c>
      <c r="W108" s="4">
        <v>0.29099999999999998</v>
      </c>
      <c r="X108" s="4">
        <v>8.4619999999999997</v>
      </c>
      <c r="Y108" s="4">
        <v>9.6300000000000008</v>
      </c>
      <c r="Z108" s="4">
        <v>2.6179999999999999</v>
      </c>
      <c r="AA108" s="4">
        <v>0.08</v>
      </c>
      <c r="AB108" s="4">
        <v>9.5000000000000001E-2</v>
      </c>
      <c r="AC108" s="9">
        <v>2.5112825738826281</v>
      </c>
      <c r="AD108" s="21">
        <f t="shared" si="96"/>
        <v>99.86699999999999</v>
      </c>
      <c r="AE108" s="21">
        <f t="shared" si="104"/>
        <v>11.129620000000001</v>
      </c>
      <c r="AF108" s="23">
        <f t="shared" si="105"/>
        <v>0.57544965879096033</v>
      </c>
      <c r="AH108" s="16">
        <f t="shared" si="106"/>
        <v>51.835941802597468</v>
      </c>
      <c r="AI108" s="16">
        <f t="shared" si="106"/>
        <v>1.1335075650615318</v>
      </c>
      <c r="AJ108" s="16">
        <f t="shared" si="106"/>
        <v>13.429861716082391</v>
      </c>
      <c r="AK108" s="16">
        <f t="shared" si="106"/>
        <v>12.396487328146437</v>
      </c>
      <c r="AL108" s="16">
        <f t="shared" si="106"/>
        <v>0</v>
      </c>
      <c r="AM108" s="16">
        <f t="shared" si="106"/>
        <v>0.29138754543542911</v>
      </c>
      <c r="AN108" s="16">
        <f t="shared" si="106"/>
        <v>8.4732694483663273</v>
      </c>
      <c r="AO108" s="16">
        <f t="shared" si="106"/>
        <v>9.6428249571930689</v>
      </c>
      <c r="AP108" s="16">
        <f t="shared" si="106"/>
        <v>2.6214865771476066</v>
      </c>
      <c r="AQ108" s="16">
        <f t="shared" si="106"/>
        <v>8.0106541700461623E-2</v>
      </c>
      <c r="AR108" s="16">
        <f t="shared" si="106"/>
        <v>9.5126518269298174E-2</v>
      </c>
      <c r="AS108" s="16">
        <f t="shared" si="107"/>
        <v>100.00000000000001</v>
      </c>
      <c r="AT108" s="16">
        <f t="shared" si="108"/>
        <v>11.144442108003647</v>
      </c>
      <c r="AV108" s="1" t="s">
        <v>400</v>
      </c>
      <c r="AW108" s="69">
        <v>10.914221352279394</v>
      </c>
      <c r="AX108" s="69"/>
      <c r="AY108" s="69">
        <v>69.614225868933005</v>
      </c>
      <c r="AZ108" s="69">
        <v>416.57389861521244</v>
      </c>
      <c r="BA108" s="69"/>
      <c r="BB108" s="69">
        <v>47.698503802197507</v>
      </c>
      <c r="BC108" s="69"/>
      <c r="BD108" s="69">
        <v>63.844193252743324</v>
      </c>
      <c r="BE108" s="69"/>
      <c r="BF108" s="69"/>
      <c r="BG108" s="69"/>
      <c r="BH108" s="69">
        <v>169.10097891146913</v>
      </c>
      <c r="BI108" s="69"/>
      <c r="BJ108" s="69">
        <v>96.686380288597803</v>
      </c>
      <c r="BK108" s="69"/>
      <c r="BL108" s="69">
        <v>18.844740386830086</v>
      </c>
      <c r="BM108" s="69"/>
      <c r="BN108" s="69">
        <v>0.52239721977693698</v>
      </c>
      <c r="BP108" s="69">
        <v>92.550192858857756</v>
      </c>
      <c r="BQ108" s="69"/>
      <c r="BR108" s="69">
        <v>33.553127066297243</v>
      </c>
      <c r="BS108" s="69"/>
      <c r="BT108" s="69">
        <v>64.316489163634273</v>
      </c>
      <c r="BV108" s="9">
        <v>2.5895884474845006</v>
      </c>
      <c r="BZ108" s="9">
        <v>8.5867018879929157E-3</v>
      </c>
      <c r="CA108" s="9">
        <v>16.40807180119727</v>
      </c>
      <c r="CB108" s="9">
        <v>3.1877551431315059</v>
      </c>
      <c r="CC108" s="9">
        <v>8.3639424483141553</v>
      </c>
      <c r="CD108" s="9">
        <v>1.3169126807433689</v>
      </c>
      <c r="CE108" s="9">
        <v>7.1281659608524475</v>
      </c>
      <c r="CF108" s="9">
        <v>2.6095054401058397</v>
      </c>
      <c r="CG108" s="9">
        <v>0.93108950892825393</v>
      </c>
      <c r="CH108" s="9">
        <v>3.8904571736369915</v>
      </c>
      <c r="CI108" s="9">
        <v>0.70916594257241472</v>
      </c>
      <c r="CJ108" s="9">
        <v>5.2141270952544154</v>
      </c>
      <c r="CK108" s="9">
        <v>1.1250790700816344</v>
      </c>
      <c r="CL108" s="9">
        <v>3.2861861709188132</v>
      </c>
      <c r="CM108" s="9">
        <v>0.51346929502047056</v>
      </c>
      <c r="CN108" s="9">
        <v>3.190960965216842</v>
      </c>
      <c r="CO108" s="9">
        <v>0.50589219034379096</v>
      </c>
      <c r="CP108" s="9">
        <v>1.6731742913292382</v>
      </c>
      <c r="CQ108" s="9">
        <v>0.14433008990381618</v>
      </c>
      <c r="CR108" s="9">
        <v>0.88600363767710744</v>
      </c>
      <c r="CS108" s="9">
        <v>0.48198912488647494</v>
      </c>
      <c r="CT108" s="9">
        <v>0.17894674625590895</v>
      </c>
    </row>
    <row r="109" spans="1:98">
      <c r="A109" s="1" t="s">
        <v>271</v>
      </c>
      <c r="B109" s="1" t="s">
        <v>268</v>
      </c>
      <c r="C109" s="1" t="s">
        <v>765</v>
      </c>
      <c r="D109" s="55">
        <v>68.600277777777777</v>
      </c>
      <c r="E109" s="55">
        <v>4.6455555555555552</v>
      </c>
      <c r="I109" s="9">
        <v>257.29500000000002</v>
      </c>
      <c r="J109" s="1" t="s">
        <v>256</v>
      </c>
      <c r="K109" s="1" t="s">
        <v>52</v>
      </c>
      <c r="L109" s="1" t="s">
        <v>864</v>
      </c>
      <c r="M109" s="78" t="s">
        <v>862</v>
      </c>
      <c r="N109" s="78"/>
      <c r="P109" s="1" t="s">
        <v>815</v>
      </c>
      <c r="Q109" s="1" t="s">
        <v>286</v>
      </c>
      <c r="R109" s="4">
        <v>51.747999999999998</v>
      </c>
      <c r="S109" s="4">
        <v>1.238</v>
      </c>
      <c r="T109" s="4">
        <v>13.066000000000001</v>
      </c>
      <c r="U109" s="4">
        <v>12.723000000000001</v>
      </c>
      <c r="W109" s="4">
        <v>0.252</v>
      </c>
      <c r="X109" s="4">
        <v>8.9039999999999999</v>
      </c>
      <c r="Y109" s="4">
        <v>8.5310000000000006</v>
      </c>
      <c r="Z109" s="4">
        <v>2.8330000000000002</v>
      </c>
      <c r="AA109" s="4">
        <v>0.114</v>
      </c>
      <c r="AB109" s="4">
        <v>9.5000000000000001E-2</v>
      </c>
      <c r="AC109" s="9">
        <v>3.723752715236254</v>
      </c>
      <c r="AD109" s="21">
        <f t="shared" si="96"/>
        <v>99.503999999999991</v>
      </c>
      <c r="AE109" s="21">
        <f t="shared" si="104"/>
        <v>11.437977</v>
      </c>
      <c r="AF109" s="23">
        <f t="shared" si="105"/>
        <v>0.58120137753494661</v>
      </c>
      <c r="AH109" s="16">
        <f t="shared" si="106"/>
        <v>52.005949509567458</v>
      </c>
      <c r="AI109" s="16">
        <f t="shared" si="106"/>
        <v>1.2441710885994535</v>
      </c>
      <c r="AJ109" s="16">
        <f t="shared" si="106"/>
        <v>13.131130406817819</v>
      </c>
      <c r="AK109" s="16">
        <f t="shared" si="106"/>
        <v>12.786420646406178</v>
      </c>
      <c r="AL109" s="16">
        <f t="shared" si="106"/>
        <v>0</v>
      </c>
      <c r="AM109" s="16">
        <f t="shared" si="106"/>
        <v>0.25325615050651235</v>
      </c>
      <c r="AN109" s="16">
        <f t="shared" si="106"/>
        <v>8.948383984563435</v>
      </c>
      <c r="AO109" s="16">
        <f t="shared" si="106"/>
        <v>8.5735246824248286</v>
      </c>
      <c r="AP109" s="16">
        <f t="shared" si="106"/>
        <v>2.8471217237497992</v>
      </c>
      <c r="AQ109" s="16">
        <f t="shared" si="106"/>
        <v>0.11456825856246987</v>
      </c>
      <c r="AR109" s="16">
        <f t="shared" si="106"/>
        <v>9.5473548802058217E-2</v>
      </c>
      <c r="AS109" s="16">
        <f t="shared" si="107"/>
        <v>100.00000000000003</v>
      </c>
      <c r="AT109" s="16">
        <f t="shared" si="108"/>
        <v>11.494992161119153</v>
      </c>
      <c r="AV109" s="1" t="s">
        <v>400</v>
      </c>
      <c r="AW109" s="69">
        <v>15.574057485450094</v>
      </c>
      <c r="AX109" s="69"/>
      <c r="AY109" s="69">
        <v>67.320207968710335</v>
      </c>
      <c r="AZ109" s="69">
        <v>412.93223331664979</v>
      </c>
      <c r="BA109" s="69"/>
      <c r="BB109" s="69">
        <v>26.522048396440411</v>
      </c>
      <c r="BC109" s="69"/>
      <c r="BD109" s="69">
        <v>62.400524060152875</v>
      </c>
      <c r="BE109" s="69"/>
      <c r="BF109" s="69"/>
      <c r="BG109" s="69"/>
      <c r="BH109" s="69">
        <v>161.3201529602452</v>
      </c>
      <c r="BI109" s="69"/>
      <c r="BJ109" s="69">
        <v>101.18455118708236</v>
      </c>
      <c r="BK109" s="69"/>
      <c r="BL109" s="69">
        <v>18.776185564258089</v>
      </c>
      <c r="BM109" s="69"/>
      <c r="BN109" s="69">
        <v>0.82444770504545395</v>
      </c>
      <c r="BP109" s="69">
        <v>95.774021879782012</v>
      </c>
      <c r="BQ109" s="69"/>
      <c r="BR109" s="69">
        <v>30.421774894973193</v>
      </c>
      <c r="BS109" s="69"/>
      <c r="BT109" s="69">
        <v>66.122334855177812</v>
      </c>
      <c r="BV109" s="9">
        <v>2.4974607299734473</v>
      </c>
      <c r="BZ109" s="9">
        <v>1.6855390115119641E-2</v>
      </c>
      <c r="CA109" s="9">
        <v>28.864534036916712</v>
      </c>
      <c r="CB109" s="9">
        <v>2.99322375194952</v>
      </c>
      <c r="CC109" s="9">
        <v>7.8522350008723887</v>
      </c>
      <c r="CD109" s="9">
        <v>1.2598765840209196</v>
      </c>
      <c r="CE109" s="9">
        <v>6.7060753291915489</v>
      </c>
      <c r="CF109" s="9">
        <v>2.3301510059201491</v>
      </c>
      <c r="CG109" s="9">
        <v>0.91473268696036281</v>
      </c>
      <c r="CH109" s="9">
        <v>3.7847968442054514</v>
      </c>
      <c r="CI109" s="9">
        <v>0.68488924332540835</v>
      </c>
      <c r="CJ109" s="9">
        <v>4.9316436148370961</v>
      </c>
      <c r="CK109" s="9">
        <v>1.0355151097131738</v>
      </c>
      <c r="CL109" s="9">
        <v>3.1357953716139049</v>
      </c>
      <c r="CM109" s="9">
        <v>0.50847438964064684</v>
      </c>
      <c r="CN109" s="9">
        <v>3.2017249287943779</v>
      </c>
      <c r="CO109" s="9">
        <v>0.47424844419939566</v>
      </c>
      <c r="CP109" s="9">
        <v>1.791788989613972</v>
      </c>
      <c r="CQ109" s="9">
        <v>0.14605669513430014</v>
      </c>
      <c r="CR109" s="9">
        <v>0.6637008719551567</v>
      </c>
      <c r="CS109" s="9">
        <v>0.43275241688651395</v>
      </c>
      <c r="CT109" s="9">
        <v>0.10193303668974456</v>
      </c>
    </row>
    <row r="110" spans="1:98">
      <c r="A110" s="1" t="s">
        <v>271</v>
      </c>
      <c r="B110" s="1" t="s">
        <v>268</v>
      </c>
      <c r="C110" s="1" t="s">
        <v>809</v>
      </c>
      <c r="D110" s="55">
        <v>68.600277777777777</v>
      </c>
      <c r="E110" s="55">
        <v>4.6455555555555552</v>
      </c>
      <c r="I110" s="9">
        <v>174.03</v>
      </c>
      <c r="J110" s="1" t="s">
        <v>256</v>
      </c>
      <c r="K110" s="1" t="s">
        <v>52</v>
      </c>
      <c r="L110" s="1" t="s">
        <v>864</v>
      </c>
      <c r="M110" s="78" t="s">
        <v>862</v>
      </c>
      <c r="N110" s="78"/>
      <c r="P110" s="1" t="s">
        <v>262</v>
      </c>
      <c r="Q110" s="1" t="s">
        <v>269</v>
      </c>
      <c r="R110" s="4">
        <v>49.44</v>
      </c>
      <c r="S110" s="4">
        <v>0.84099999999999997</v>
      </c>
      <c r="T110" s="4">
        <v>14.6</v>
      </c>
      <c r="U110" s="4">
        <v>11.37</v>
      </c>
      <c r="W110" s="27">
        <v>0.12</v>
      </c>
      <c r="X110" s="4">
        <v>9.69</v>
      </c>
      <c r="Y110" s="4">
        <v>9.4700000000000006</v>
      </c>
      <c r="Z110" s="4">
        <v>2.2799999999999998</v>
      </c>
      <c r="AA110" s="4">
        <v>0.11</v>
      </c>
      <c r="AB110" s="4">
        <v>6.2E-2</v>
      </c>
      <c r="AC110" s="9">
        <v>1.85</v>
      </c>
      <c r="AD110" s="21">
        <f t="shared" ref="AD110:AD115" si="109">SUM(R110:AC110)</f>
        <v>99.832999999999998</v>
      </c>
      <c r="AE110" s="21">
        <f t="shared" ref="AE110:AE115" si="110">V110+0.899*U110</f>
        <v>10.221629999999999</v>
      </c>
      <c r="AF110" s="23">
        <f t="shared" ref="AF110:AF115" si="111">(X110/40.3)/((X110/40.3)+(AE110/71.844))</f>
        <v>0.62825406480962986</v>
      </c>
      <c r="AH110" s="16">
        <f t="shared" ref="AH110:AR115" si="112">100*R110/SUM($R110:$AB110)</f>
        <v>50.457732463794741</v>
      </c>
      <c r="AI110" s="16">
        <f t="shared" si="112"/>
        <v>0.8583121561903595</v>
      </c>
      <c r="AJ110" s="16">
        <f t="shared" si="112"/>
        <v>14.900543971913494</v>
      </c>
      <c r="AK110" s="16">
        <f t="shared" si="112"/>
        <v>11.604053764428523</v>
      </c>
      <c r="AL110" s="16">
        <f t="shared" si="112"/>
        <v>0</v>
      </c>
      <c r="AM110" s="16">
        <f t="shared" si="112"/>
        <v>0.12247022442668626</v>
      </c>
      <c r="AN110" s="16">
        <f t="shared" si="112"/>
        <v>9.8894706224549154</v>
      </c>
      <c r="AO110" s="16">
        <f t="shared" si="112"/>
        <v>9.6649418776726588</v>
      </c>
      <c r="AP110" s="16">
        <f t="shared" si="112"/>
        <v>2.3269342641070385</v>
      </c>
      <c r="AQ110" s="16">
        <f t="shared" si="112"/>
        <v>0.11226437239112907</v>
      </c>
      <c r="AR110" s="16">
        <f t="shared" si="112"/>
        <v>6.3276282620454566E-2</v>
      </c>
      <c r="AS110" s="16">
        <f t="shared" ref="AS110:AS115" si="113">SUM(AH110:AR110)</f>
        <v>100.00000000000001</v>
      </c>
      <c r="AT110" s="16">
        <f t="shared" ref="AT110:AT115" si="114">AL110+0.899*AK110</f>
        <v>10.432044334221242</v>
      </c>
      <c r="AV110" s="1" t="s">
        <v>401</v>
      </c>
      <c r="AW110" s="69">
        <v>9.7922037971624025</v>
      </c>
      <c r="AX110" s="69">
        <v>0.18258784148074886</v>
      </c>
      <c r="AY110" s="69">
        <v>51.265955516065787</v>
      </c>
      <c r="AZ110" s="69">
        <v>350.22247957795179</v>
      </c>
      <c r="BA110" s="69"/>
      <c r="BB110" s="69">
        <v>84.558355796081258</v>
      </c>
      <c r="BC110" s="69"/>
      <c r="BD110" s="69">
        <v>51.421887262473142</v>
      </c>
      <c r="BE110" s="69"/>
      <c r="BF110" s="69">
        <v>71.715988505458881</v>
      </c>
      <c r="BG110" s="69"/>
      <c r="BH110" s="69">
        <v>154.71278500216553</v>
      </c>
      <c r="BI110" s="69"/>
      <c r="BJ110" s="69">
        <v>75.374821207776094</v>
      </c>
      <c r="BK110" s="69"/>
      <c r="BL110" s="69">
        <v>15.052943667693929</v>
      </c>
      <c r="BM110" s="69"/>
      <c r="BN110" s="69">
        <v>0.72278691397675954</v>
      </c>
      <c r="BP110" s="69">
        <v>79.746417708956045</v>
      </c>
      <c r="BQ110" s="69"/>
      <c r="BR110" s="69">
        <v>20.471696583006494</v>
      </c>
      <c r="BS110" s="69"/>
      <c r="BT110" s="69">
        <v>43.662888358543867</v>
      </c>
      <c r="BV110" s="9">
        <v>1.965867643985892</v>
      </c>
      <c r="BZ110" s="9">
        <v>1.3973218335838339E-2</v>
      </c>
      <c r="CA110" s="9">
        <v>14.680702569330009</v>
      </c>
      <c r="CB110" s="9">
        <v>2.1253178887456605</v>
      </c>
      <c r="CC110" s="9">
        <v>5.5591756172552227</v>
      </c>
      <c r="CD110" s="9">
        <v>0.9060951223692959</v>
      </c>
      <c r="CE110" s="9">
        <v>4.6302692100486524</v>
      </c>
      <c r="CF110" s="9">
        <v>1.8250011396712156</v>
      </c>
      <c r="CG110" s="9">
        <v>0.73181247497121937</v>
      </c>
      <c r="CH110" s="9">
        <v>2.6544291771453556</v>
      </c>
      <c r="CI110" s="9">
        <v>0.52301534834999974</v>
      </c>
      <c r="CJ110" s="9">
        <v>3.4893541995471922</v>
      </c>
      <c r="CK110" s="9">
        <v>0.79596228220251297</v>
      </c>
      <c r="CL110" s="9">
        <v>2.345065951536689</v>
      </c>
      <c r="CM110" s="9">
        <v>0.38169206602920036</v>
      </c>
      <c r="CN110" s="9">
        <v>2.4451585179603064</v>
      </c>
      <c r="CO110" s="9">
        <v>0.38374157774788636</v>
      </c>
      <c r="CP110" s="9">
        <v>1.2767026318235637</v>
      </c>
      <c r="CQ110" s="9">
        <v>0.13652848329474651</v>
      </c>
      <c r="CR110" s="9">
        <v>0.37418591741059098</v>
      </c>
      <c r="CS110" s="9">
        <v>0.25202662091132866</v>
      </c>
      <c r="CT110" s="9">
        <v>8.1115932414249498E-2</v>
      </c>
    </row>
    <row r="111" spans="1:98">
      <c r="A111" s="1" t="s">
        <v>271</v>
      </c>
      <c r="B111" s="1" t="s">
        <v>268</v>
      </c>
      <c r="C111" s="1" t="s">
        <v>810</v>
      </c>
      <c r="D111" s="55">
        <v>68.600277777777777</v>
      </c>
      <c r="E111" s="55">
        <v>4.6455555555555552</v>
      </c>
      <c r="I111" s="9">
        <v>183.77</v>
      </c>
      <c r="J111" s="1" t="s">
        <v>256</v>
      </c>
      <c r="K111" s="1" t="s">
        <v>52</v>
      </c>
      <c r="L111" s="1" t="s">
        <v>864</v>
      </c>
      <c r="M111" s="78" t="s">
        <v>862</v>
      </c>
      <c r="N111" s="78"/>
      <c r="P111" s="1" t="s">
        <v>262</v>
      </c>
      <c r="Q111" s="1" t="s">
        <v>269</v>
      </c>
      <c r="R111" s="4">
        <v>49.78</v>
      </c>
      <c r="S111" s="4">
        <v>0.81399999999999995</v>
      </c>
      <c r="T111" s="4">
        <v>14.17</v>
      </c>
      <c r="U111" s="4">
        <v>11.04</v>
      </c>
      <c r="W111" s="27">
        <v>0.17799999999999999</v>
      </c>
      <c r="X111" s="4">
        <v>8.7799999999999994</v>
      </c>
      <c r="Y111" s="4">
        <v>12.34</v>
      </c>
      <c r="Z111" s="4">
        <v>1.96</v>
      </c>
      <c r="AA111" s="4">
        <v>0.05</v>
      </c>
      <c r="AB111" s="4">
        <v>5.8000000000000003E-2</v>
      </c>
      <c r="AC111" s="9">
        <v>0.56999999999999995</v>
      </c>
      <c r="AD111" s="21">
        <f t="shared" si="109"/>
        <v>99.74</v>
      </c>
      <c r="AE111" s="21">
        <f t="shared" si="110"/>
        <v>9.9249599999999987</v>
      </c>
      <c r="AF111" s="23">
        <f t="shared" si="111"/>
        <v>0.61196255281197576</v>
      </c>
      <c r="AH111" s="16">
        <f t="shared" si="112"/>
        <v>50.196632045981644</v>
      </c>
      <c r="AI111" s="16">
        <f t="shared" si="112"/>
        <v>0.82081274579005736</v>
      </c>
      <c r="AJ111" s="16">
        <f t="shared" si="112"/>
        <v>14.288595341333064</v>
      </c>
      <c r="AK111" s="16">
        <f t="shared" si="112"/>
        <v>11.132398910960976</v>
      </c>
      <c r="AL111" s="16">
        <f t="shared" si="112"/>
        <v>0</v>
      </c>
      <c r="AM111" s="16">
        <f t="shared" si="112"/>
        <v>0.17948976504991429</v>
      </c>
      <c r="AN111" s="16">
        <f t="shared" si="112"/>
        <v>8.8534839165070061</v>
      </c>
      <c r="AO111" s="16">
        <f t="shared" si="112"/>
        <v>12.443279217505294</v>
      </c>
      <c r="AP111" s="16">
        <f t="shared" si="112"/>
        <v>1.9764041544822022</v>
      </c>
      <c r="AQ111" s="16">
        <f t="shared" si="112"/>
        <v>5.041847332862761E-2</v>
      </c>
      <c r="AR111" s="16">
        <f t="shared" si="112"/>
        <v>5.848542906120803E-2</v>
      </c>
      <c r="AS111" s="16">
        <f t="shared" si="113"/>
        <v>99.999999999999986</v>
      </c>
      <c r="AT111" s="16">
        <f t="shared" si="114"/>
        <v>10.008026620953919</v>
      </c>
      <c r="AV111" s="1" t="s">
        <v>401</v>
      </c>
      <c r="AW111" s="69">
        <v>6.5732343955713324</v>
      </c>
      <c r="AX111" s="69">
        <v>0.17230221290503278</v>
      </c>
      <c r="AY111" s="69">
        <v>51.106771709547111</v>
      </c>
      <c r="AZ111" s="69">
        <v>346.79568031491948</v>
      </c>
      <c r="BA111" s="69"/>
      <c r="BB111" s="69">
        <v>98.068112282168869</v>
      </c>
      <c r="BC111" s="69"/>
      <c r="BD111" s="69">
        <v>50.873374648123523</v>
      </c>
      <c r="BE111" s="69"/>
      <c r="BF111" s="69">
        <v>77.658190344634733</v>
      </c>
      <c r="BG111" s="69"/>
      <c r="BH111" s="69">
        <v>156.21424244755784</v>
      </c>
      <c r="BI111" s="69"/>
      <c r="BJ111" s="69">
        <v>75.3736588420077</v>
      </c>
      <c r="BK111" s="69"/>
      <c r="BL111" s="69">
        <v>14.918424324316879</v>
      </c>
      <c r="BM111" s="69"/>
      <c r="BN111" s="69">
        <v>0.43465673379778619</v>
      </c>
      <c r="BP111" s="69">
        <v>77.221786162611863</v>
      </c>
      <c r="BQ111" s="69"/>
      <c r="BR111" s="69">
        <v>23.820325328702008</v>
      </c>
      <c r="BS111" s="69"/>
      <c r="BT111" s="69">
        <v>43.964058036641049</v>
      </c>
      <c r="BV111" s="9">
        <v>1.8781546100293089</v>
      </c>
      <c r="BZ111" s="9">
        <v>1.3387954649450612E-2</v>
      </c>
      <c r="CA111" s="9">
        <v>13.836575115598666</v>
      </c>
      <c r="CB111" s="9">
        <v>2.1180996748027145</v>
      </c>
      <c r="CC111" s="9">
        <v>5.6238893919138846</v>
      </c>
      <c r="CD111" s="9">
        <v>0.93470855475587133</v>
      </c>
      <c r="CE111" s="9">
        <v>4.8526878449217836</v>
      </c>
      <c r="CF111" s="9">
        <v>1.9344255932227288</v>
      </c>
      <c r="CG111" s="9">
        <v>0.76931063323526416</v>
      </c>
      <c r="CH111" s="9">
        <v>2.9405230341646407</v>
      </c>
      <c r="CI111" s="9">
        <v>0.56386990338163911</v>
      </c>
      <c r="CJ111" s="9">
        <v>3.8205370020921166</v>
      </c>
      <c r="CK111" s="9">
        <v>0.88792088823709814</v>
      </c>
      <c r="CL111" s="9">
        <v>2.6327124749677933</v>
      </c>
      <c r="CM111" s="9">
        <v>0.42362769157417374</v>
      </c>
      <c r="CN111" s="9">
        <v>2.7316661959292934</v>
      </c>
      <c r="CO111" s="9">
        <v>0.42954475384198626</v>
      </c>
      <c r="CP111" s="9">
        <v>1.2980897796072077</v>
      </c>
      <c r="CQ111" s="9">
        <v>0.12809563984883446</v>
      </c>
      <c r="CR111" s="9">
        <v>0.38214852239587466</v>
      </c>
      <c r="CS111" s="9">
        <v>0.2481610432832978</v>
      </c>
      <c r="CT111" s="9">
        <v>6.266748420265543E-2</v>
      </c>
    </row>
    <row r="112" spans="1:98">
      <c r="A112" s="1" t="s">
        <v>271</v>
      </c>
      <c r="B112" s="1" t="s">
        <v>268</v>
      </c>
      <c r="C112" s="1" t="s">
        <v>811</v>
      </c>
      <c r="D112" s="55">
        <v>68.600277777777777</v>
      </c>
      <c r="E112" s="55">
        <v>4.6455555555555552</v>
      </c>
      <c r="I112" s="9">
        <v>194.45</v>
      </c>
      <c r="J112" s="1" t="s">
        <v>256</v>
      </c>
      <c r="K112" s="1" t="s">
        <v>52</v>
      </c>
      <c r="L112" s="1" t="s">
        <v>864</v>
      </c>
      <c r="M112" s="78" t="s">
        <v>862</v>
      </c>
      <c r="N112" s="78"/>
      <c r="P112" s="1" t="s">
        <v>262</v>
      </c>
      <c r="Q112" s="1" t="s">
        <v>269</v>
      </c>
      <c r="R112" s="4">
        <v>49.86</v>
      </c>
      <c r="S112" s="4">
        <v>0.92600000000000005</v>
      </c>
      <c r="T112" s="4">
        <v>14.9</v>
      </c>
      <c r="U112" s="4">
        <v>10.24</v>
      </c>
      <c r="W112" s="27">
        <v>0.16800000000000001</v>
      </c>
      <c r="X112" s="4">
        <v>8.9600000000000009</v>
      </c>
      <c r="Y112" s="4">
        <v>9.58</v>
      </c>
      <c r="Z112" s="4">
        <v>2.6</v>
      </c>
      <c r="AA112" s="4">
        <v>0.1</v>
      </c>
      <c r="AB112" s="4">
        <v>7.2999999999999995E-2</v>
      </c>
      <c r="AC112" s="9">
        <v>1.36</v>
      </c>
      <c r="AD112" s="21">
        <f t="shared" si="109"/>
        <v>98.766999999999982</v>
      </c>
      <c r="AE112" s="21">
        <f t="shared" si="110"/>
        <v>9.2057599999999997</v>
      </c>
      <c r="AF112" s="23">
        <f t="shared" si="111"/>
        <v>0.63438762700165097</v>
      </c>
      <c r="AH112" s="16">
        <f t="shared" si="112"/>
        <v>51.187286334657685</v>
      </c>
      <c r="AI112" s="16">
        <f t="shared" si="112"/>
        <v>0.95065036393688362</v>
      </c>
      <c r="AJ112" s="16">
        <f t="shared" si="112"/>
        <v>15.296641925118321</v>
      </c>
      <c r="AK112" s="16">
        <f t="shared" si="112"/>
        <v>10.51259149753098</v>
      </c>
      <c r="AL112" s="16">
        <f t="shared" si="112"/>
        <v>0</v>
      </c>
      <c r="AM112" s="16">
        <f t="shared" si="112"/>
        <v>0.17247220425636764</v>
      </c>
      <c r="AN112" s="16">
        <f t="shared" si="112"/>
        <v>9.1985175603396083</v>
      </c>
      <c r="AO112" s="16">
        <f t="shared" si="112"/>
        <v>9.8350221236666791</v>
      </c>
      <c r="AP112" s="16">
        <f t="shared" si="112"/>
        <v>2.6692126849199753</v>
      </c>
      <c r="AQ112" s="16">
        <f t="shared" si="112"/>
        <v>0.10266202634307597</v>
      </c>
      <c r="AR112" s="16">
        <f t="shared" si="112"/>
        <v>7.4943279230445456E-2</v>
      </c>
      <c r="AS112" s="16">
        <f t="shared" si="113"/>
        <v>100</v>
      </c>
      <c r="AT112" s="16">
        <f t="shared" si="114"/>
        <v>9.4508197562803513</v>
      </c>
      <c r="AV112" s="1" t="s">
        <v>401</v>
      </c>
      <c r="AW112" s="69">
        <v>8.2575268916521054</v>
      </c>
      <c r="AX112" s="69">
        <v>0.25261401041399129</v>
      </c>
      <c r="AY112" s="69">
        <v>48.007034355679167</v>
      </c>
      <c r="AZ112" s="69">
        <v>351.55118440983011</v>
      </c>
      <c r="BA112" s="69"/>
      <c r="BB112" s="69">
        <v>202.08387674078506</v>
      </c>
      <c r="BC112" s="69"/>
      <c r="BD112" s="69">
        <v>46.646400389684878</v>
      </c>
      <c r="BE112" s="69"/>
      <c r="BF112" s="69">
        <v>66.83073573719534</v>
      </c>
      <c r="BG112" s="69"/>
      <c r="BH112" s="69">
        <v>112.45349569316595</v>
      </c>
      <c r="BI112" s="69"/>
      <c r="BJ112" s="69">
        <v>79.461120197757623</v>
      </c>
      <c r="BK112" s="69"/>
      <c r="BL112" s="69">
        <v>16.488019637038061</v>
      </c>
      <c r="BM112" s="69"/>
      <c r="BN112" s="69">
        <v>0.45205623587131932</v>
      </c>
      <c r="BP112" s="69">
        <v>98.691831073506179</v>
      </c>
      <c r="BQ112" s="69"/>
      <c r="BR112" s="69">
        <v>23.534887174920755</v>
      </c>
      <c r="BS112" s="69"/>
      <c r="BT112" s="69">
        <v>56.744999172596096</v>
      </c>
      <c r="BV112" s="9">
        <v>3.1822276299304173</v>
      </c>
      <c r="BZ112" s="9">
        <v>1.017398784636858E-2</v>
      </c>
      <c r="CA112" s="9">
        <v>21.498347417869574</v>
      </c>
      <c r="CB112" s="9">
        <v>3.3343643489124082</v>
      </c>
      <c r="CC112" s="9">
        <v>8.3446609026203973</v>
      </c>
      <c r="CD112" s="9">
        <v>1.2919742538975563</v>
      </c>
      <c r="CE112" s="9">
        <v>6.2184532403925008</v>
      </c>
      <c r="CF112" s="9">
        <v>2.2974184659897712</v>
      </c>
      <c r="CG112" s="9">
        <v>0.87715557695006485</v>
      </c>
      <c r="CH112" s="9">
        <v>3.1935411691432742</v>
      </c>
      <c r="CI112" s="9">
        <v>0.61133511277373798</v>
      </c>
      <c r="CJ112" s="9">
        <v>4.1020578157329917</v>
      </c>
      <c r="CK112" s="9">
        <v>0.93094676634754459</v>
      </c>
      <c r="CL112" s="9">
        <v>2.7455051810157376</v>
      </c>
      <c r="CM112" s="9">
        <v>0.42931044699219367</v>
      </c>
      <c r="CN112" s="9">
        <v>2.8980269671532004</v>
      </c>
      <c r="CO112" s="9">
        <v>0.44816087356296969</v>
      </c>
      <c r="CP112" s="9">
        <v>1.6336973558852563</v>
      </c>
      <c r="CQ112" s="9">
        <v>0.21936342786323473</v>
      </c>
      <c r="CR112" s="9">
        <v>0.55849279843119226</v>
      </c>
      <c r="CS112" s="9">
        <v>0.42109593709757542</v>
      </c>
      <c r="CT112" s="9">
        <v>0.15399117737524645</v>
      </c>
    </row>
    <row r="113" spans="1:98">
      <c r="A113" s="1" t="s">
        <v>271</v>
      </c>
      <c r="B113" s="1" t="s">
        <v>268</v>
      </c>
      <c r="C113" s="1" t="s">
        <v>812</v>
      </c>
      <c r="D113" s="55">
        <v>68.600277777777777</v>
      </c>
      <c r="E113" s="55">
        <v>4.6455555555555552</v>
      </c>
      <c r="I113" s="9">
        <v>204.28</v>
      </c>
      <c r="J113" s="1" t="s">
        <v>256</v>
      </c>
      <c r="K113" s="1" t="s">
        <v>52</v>
      </c>
      <c r="L113" s="1" t="s">
        <v>864</v>
      </c>
      <c r="M113" s="78" t="s">
        <v>862</v>
      </c>
      <c r="N113" s="78"/>
      <c r="P113" s="1" t="s">
        <v>262</v>
      </c>
      <c r="Q113" s="1" t="s">
        <v>269</v>
      </c>
      <c r="R113" s="4">
        <v>50.99</v>
      </c>
      <c r="S113" s="4">
        <v>1.2949999999999999</v>
      </c>
      <c r="T113" s="4">
        <v>14.27</v>
      </c>
      <c r="U113" s="4">
        <v>11.77</v>
      </c>
      <c r="W113" s="27">
        <v>0.128</v>
      </c>
      <c r="X113" s="4">
        <v>8.3800000000000008</v>
      </c>
      <c r="Y113" s="4">
        <v>8.26</v>
      </c>
      <c r="Z113" s="4">
        <v>2.63</v>
      </c>
      <c r="AA113" s="4">
        <v>0.23</v>
      </c>
      <c r="AB113" s="4">
        <v>0.122</v>
      </c>
      <c r="AC113" s="9">
        <v>1.75</v>
      </c>
      <c r="AD113" s="21">
        <f t="shared" si="109"/>
        <v>99.825000000000003</v>
      </c>
      <c r="AE113" s="21">
        <f t="shared" si="110"/>
        <v>10.58123</v>
      </c>
      <c r="AF113" s="23">
        <f t="shared" si="111"/>
        <v>0.58538317940745455</v>
      </c>
      <c r="AH113" s="16">
        <f t="shared" si="112"/>
        <v>51.990823349477438</v>
      </c>
      <c r="AI113" s="16">
        <f t="shared" si="112"/>
        <v>1.3204180474126943</v>
      </c>
      <c r="AJ113" s="16">
        <f t="shared" si="112"/>
        <v>14.550089217435636</v>
      </c>
      <c r="AK113" s="16">
        <f t="shared" si="112"/>
        <v>12.00101962783584</v>
      </c>
      <c r="AL113" s="16">
        <f t="shared" si="112"/>
        <v>0</v>
      </c>
      <c r="AM113" s="16">
        <f t="shared" si="112"/>
        <v>0.13051236298750957</v>
      </c>
      <c r="AN113" s="16">
        <f t="shared" si="112"/>
        <v>8.5444812643385166</v>
      </c>
      <c r="AO113" s="16">
        <f t="shared" si="112"/>
        <v>8.4221259240377258</v>
      </c>
      <c r="AP113" s="16">
        <f t="shared" si="112"/>
        <v>2.6816212082589854</v>
      </c>
      <c r="AQ113" s="16">
        <f t="shared" si="112"/>
        <v>0.23451440224318124</v>
      </c>
      <c r="AR113" s="16">
        <f t="shared" si="112"/>
        <v>0.12439459597247003</v>
      </c>
      <c r="AS113" s="16">
        <f t="shared" si="113"/>
        <v>100</v>
      </c>
      <c r="AT113" s="16">
        <f t="shared" si="114"/>
        <v>10.78891664542442</v>
      </c>
      <c r="AV113" s="1" t="s">
        <v>401</v>
      </c>
      <c r="AW113" s="69">
        <v>12.254032518540578</v>
      </c>
      <c r="AX113" s="69">
        <v>0.35685541735892223</v>
      </c>
      <c r="AY113" s="69">
        <v>48.526075884122356</v>
      </c>
      <c r="AZ113" s="69">
        <v>390.70203957307689</v>
      </c>
      <c r="BA113" s="69"/>
      <c r="BB113" s="69">
        <v>74.763980984899376</v>
      </c>
      <c r="BC113" s="69"/>
      <c r="BD113" s="69">
        <v>49.760198858575706</v>
      </c>
      <c r="BE113" s="69"/>
      <c r="BF113" s="69">
        <v>42.282613227031867</v>
      </c>
      <c r="BG113" s="69"/>
      <c r="BH113" s="69">
        <v>98.977919546244379</v>
      </c>
      <c r="BI113" s="69"/>
      <c r="BJ113" s="69">
        <v>107.88615603449372</v>
      </c>
      <c r="BK113" s="69"/>
      <c r="BL113" s="69">
        <v>18.113464137698816</v>
      </c>
      <c r="BM113" s="69"/>
      <c r="BN113" s="69">
        <v>2.6091974747614395</v>
      </c>
      <c r="BP113" s="69">
        <v>103.5841914964447</v>
      </c>
      <c r="BQ113" s="69"/>
      <c r="BR113" s="69">
        <v>32.626175993833002</v>
      </c>
      <c r="BS113" s="69"/>
      <c r="BT113" s="69">
        <v>89.986004022410413</v>
      </c>
      <c r="BV113" s="9">
        <v>5.4106635850762563</v>
      </c>
      <c r="BZ113" s="9">
        <v>1.3660581326812801E-2</v>
      </c>
      <c r="CA113" s="9">
        <v>65.557372657278052</v>
      </c>
      <c r="CB113" s="9">
        <v>5.9088552461827151</v>
      </c>
      <c r="CC113" s="9">
        <v>14.56268903117018</v>
      </c>
      <c r="CD113" s="9">
        <v>2.1142380999047665</v>
      </c>
      <c r="CE113" s="9">
        <v>9.8902146389046433</v>
      </c>
      <c r="CF113" s="9">
        <v>3.3939593203980936</v>
      </c>
      <c r="CG113" s="9">
        <v>1.2343980804587884</v>
      </c>
      <c r="CH113" s="9">
        <v>4.5407577917621795</v>
      </c>
      <c r="CI113" s="9">
        <v>0.84802337711285747</v>
      </c>
      <c r="CJ113" s="9">
        <v>5.6848294046892924</v>
      </c>
      <c r="CK113" s="9">
        <v>1.2636586262121496</v>
      </c>
      <c r="CL113" s="9">
        <v>3.6858792112900516</v>
      </c>
      <c r="CM113" s="9">
        <v>0.57230366960204093</v>
      </c>
      <c r="CN113" s="9">
        <v>3.5794200943042989</v>
      </c>
      <c r="CO113" s="9">
        <v>0.56451654988394662</v>
      </c>
      <c r="CP113" s="9">
        <v>2.5647663414173865</v>
      </c>
      <c r="CQ113" s="9">
        <v>0.36935102881519954</v>
      </c>
      <c r="CR113" s="9">
        <v>0.82042011810804238</v>
      </c>
      <c r="CS113" s="9">
        <v>0.83736020794890798</v>
      </c>
      <c r="CT113" s="9">
        <v>0.22347421975114978</v>
      </c>
    </row>
    <row r="114" spans="1:98">
      <c r="A114" s="1" t="s">
        <v>271</v>
      </c>
      <c r="B114" s="1" t="s">
        <v>268</v>
      </c>
      <c r="C114" s="1" t="s">
        <v>813</v>
      </c>
      <c r="D114" s="55">
        <v>68.600277777777777</v>
      </c>
      <c r="E114" s="55">
        <v>4.6455555555555552</v>
      </c>
      <c r="I114" s="9">
        <v>236.435</v>
      </c>
      <c r="J114" s="1" t="s">
        <v>256</v>
      </c>
      <c r="K114" s="1" t="s">
        <v>52</v>
      </c>
      <c r="L114" s="1" t="s">
        <v>864</v>
      </c>
      <c r="M114" s="78" t="s">
        <v>862</v>
      </c>
      <c r="N114" s="78"/>
      <c r="P114" s="1" t="s">
        <v>262</v>
      </c>
      <c r="Q114" s="1" t="s">
        <v>269</v>
      </c>
      <c r="R114" s="4">
        <v>49.33</v>
      </c>
      <c r="S114" s="4">
        <v>0.95899999999999996</v>
      </c>
      <c r="T114" s="4">
        <v>16.29</v>
      </c>
      <c r="U114" s="4">
        <v>10.14</v>
      </c>
      <c r="W114" s="27">
        <v>0.14000000000000001</v>
      </c>
      <c r="X114" s="4">
        <v>7.91</v>
      </c>
      <c r="Y114" s="4">
        <v>10.99</v>
      </c>
      <c r="Z114" s="4">
        <v>2.35</v>
      </c>
      <c r="AA114" s="4">
        <v>7.0000000000000007E-2</v>
      </c>
      <c r="AB114" s="4">
        <v>8.5999999999999993E-2</v>
      </c>
      <c r="AC114" s="9">
        <v>1.72</v>
      </c>
      <c r="AD114" s="21">
        <f t="shared" si="109"/>
        <v>99.984999999999985</v>
      </c>
      <c r="AE114" s="21">
        <f t="shared" si="110"/>
        <v>9.1158600000000014</v>
      </c>
      <c r="AF114" s="23">
        <f t="shared" si="111"/>
        <v>0.6073669458735802</v>
      </c>
      <c r="AH114" s="16">
        <f t="shared" si="112"/>
        <v>50.200987126647341</v>
      </c>
      <c r="AI114" s="16">
        <f t="shared" si="112"/>
        <v>0.97593242761919308</v>
      </c>
      <c r="AJ114" s="16">
        <f t="shared" si="112"/>
        <v>16.577621737139371</v>
      </c>
      <c r="AK114" s="16">
        <f t="shared" si="112"/>
        <v>10.319035261792095</v>
      </c>
      <c r="AL114" s="16">
        <f t="shared" si="112"/>
        <v>0</v>
      </c>
      <c r="AM114" s="16">
        <f t="shared" si="112"/>
        <v>0.14247188724367785</v>
      </c>
      <c r="AN114" s="16">
        <f t="shared" si="112"/>
        <v>8.0496616292677974</v>
      </c>
      <c r="AO114" s="16">
        <f t="shared" si="112"/>
        <v>11.18404314862871</v>
      </c>
      <c r="AP114" s="16">
        <f t="shared" si="112"/>
        <v>2.3914923930188778</v>
      </c>
      <c r="AQ114" s="16">
        <f t="shared" si="112"/>
        <v>7.1235943621838924E-2</v>
      </c>
      <c r="AR114" s="16">
        <f t="shared" si="112"/>
        <v>8.7518445021116373E-2</v>
      </c>
      <c r="AS114" s="16">
        <f t="shared" si="113"/>
        <v>100.00000000000001</v>
      </c>
      <c r="AT114" s="16">
        <f t="shared" si="114"/>
        <v>9.2768127003510941</v>
      </c>
      <c r="AV114" s="1" t="s">
        <v>401</v>
      </c>
      <c r="AW114" s="69">
        <v>6.8329573769121392</v>
      </c>
      <c r="AX114" s="69">
        <v>0.25401553187175713</v>
      </c>
      <c r="AY114" s="69">
        <v>53.880689391667822</v>
      </c>
      <c r="AZ114" s="69">
        <v>365.01170508340181</v>
      </c>
      <c r="BA114" s="69"/>
      <c r="BB114" s="69">
        <v>85.141834676236911</v>
      </c>
      <c r="BC114" s="69"/>
      <c r="BD114" s="69">
        <v>46.824471825408686</v>
      </c>
      <c r="BE114" s="69"/>
      <c r="BF114" s="69">
        <v>68.86531768972425</v>
      </c>
      <c r="BG114" s="69"/>
      <c r="BH114" s="69">
        <v>151.3025729807629</v>
      </c>
      <c r="BI114" s="69"/>
      <c r="BJ114" s="69">
        <v>90.842589698894542</v>
      </c>
      <c r="BK114" s="69"/>
      <c r="BL114" s="69">
        <v>17.033440148553176</v>
      </c>
      <c r="BM114" s="69"/>
      <c r="BN114" s="69">
        <v>0.52849435234206554</v>
      </c>
      <c r="BP114" s="69">
        <v>95.003625819424371</v>
      </c>
      <c r="BQ114" s="69"/>
      <c r="BR114" s="69">
        <v>25.848412478095899</v>
      </c>
      <c r="BS114" s="69"/>
      <c r="BT114" s="69">
        <v>57.017390602137809</v>
      </c>
      <c r="BV114" s="9">
        <v>2.6055751202009012</v>
      </c>
      <c r="BZ114" s="9">
        <v>6.2985740842695414E-3</v>
      </c>
      <c r="CA114" s="9">
        <v>20.877090776336235</v>
      </c>
      <c r="CB114" s="9">
        <v>4.344502082887729</v>
      </c>
      <c r="CC114" s="9">
        <v>10.543974861087461</v>
      </c>
      <c r="CD114" s="9">
        <v>1.5410653721985808</v>
      </c>
      <c r="CE114" s="9">
        <v>7.3727382307644724</v>
      </c>
      <c r="CF114" s="9">
        <v>2.6032251797383981</v>
      </c>
      <c r="CG114" s="9">
        <v>0.97584875641056656</v>
      </c>
      <c r="CH114" s="9">
        <v>3.6787340892272056</v>
      </c>
      <c r="CI114" s="9">
        <v>0.68369918724806089</v>
      </c>
      <c r="CJ114" s="9">
        <v>4.4675910352330375</v>
      </c>
      <c r="CK114" s="9">
        <v>1.0090987283700279</v>
      </c>
      <c r="CL114" s="9">
        <v>2.8348539186907815</v>
      </c>
      <c r="CM114" s="9">
        <v>0.44692601848937435</v>
      </c>
      <c r="CN114" s="9">
        <v>2.8137634947800247</v>
      </c>
      <c r="CO114" s="9">
        <v>0.44474587684625455</v>
      </c>
      <c r="CP114" s="9">
        <v>1.6971653214823545</v>
      </c>
      <c r="CQ114" s="9">
        <v>0.18961485354710553</v>
      </c>
      <c r="CR114" s="9">
        <v>0.9305294509151244</v>
      </c>
      <c r="CS114" s="9">
        <v>0.76265565912153011</v>
      </c>
      <c r="CT114" s="9">
        <v>0.42867047186262475</v>
      </c>
    </row>
    <row r="115" spans="1:98">
      <c r="A115" s="1" t="s">
        <v>271</v>
      </c>
      <c r="B115" s="1" t="s">
        <v>268</v>
      </c>
      <c r="C115" s="1" t="s">
        <v>814</v>
      </c>
      <c r="D115" s="55">
        <v>68.600277777777805</v>
      </c>
      <c r="E115" s="55">
        <v>4.6455555555555597</v>
      </c>
      <c r="I115" s="9">
        <v>252.06</v>
      </c>
      <c r="J115" s="1" t="s">
        <v>256</v>
      </c>
      <c r="K115" s="1" t="s">
        <v>52</v>
      </c>
      <c r="L115" s="1" t="s">
        <v>864</v>
      </c>
      <c r="M115" s="78" t="s">
        <v>862</v>
      </c>
      <c r="N115" s="78"/>
      <c r="P115" s="1" t="s">
        <v>262</v>
      </c>
      <c r="Q115" s="1" t="s">
        <v>269</v>
      </c>
      <c r="R115" s="4">
        <v>49.64</v>
      </c>
      <c r="S115" s="4">
        <v>1.206</v>
      </c>
      <c r="T115" s="4">
        <v>13.78</v>
      </c>
      <c r="U115" s="4">
        <v>13.63</v>
      </c>
      <c r="W115" s="27">
        <v>0.19600000000000001</v>
      </c>
      <c r="X115" s="4">
        <v>8.4499999999999993</v>
      </c>
      <c r="Y115" s="4">
        <v>8.7200000000000006</v>
      </c>
      <c r="Z115" s="4">
        <v>2.72</v>
      </c>
      <c r="AA115" s="4">
        <v>0.06</v>
      </c>
      <c r="AB115" s="4">
        <v>9.1999999999999998E-2</v>
      </c>
      <c r="AC115" s="9">
        <v>1.76</v>
      </c>
      <c r="AD115" s="21">
        <f t="shared" si="109"/>
        <v>100.254</v>
      </c>
      <c r="AE115" s="21">
        <f t="shared" si="110"/>
        <v>12.25337</v>
      </c>
      <c r="AF115" s="23">
        <f t="shared" si="111"/>
        <v>0.55144506733363841</v>
      </c>
      <c r="AH115" s="16">
        <f t="shared" si="112"/>
        <v>50.39900907669503</v>
      </c>
      <c r="AI115" s="16">
        <f t="shared" si="112"/>
        <v>1.224440067415274</v>
      </c>
      <c r="AJ115" s="16">
        <f t="shared" si="112"/>
        <v>13.990699941113164</v>
      </c>
      <c r="AK115" s="16">
        <f t="shared" si="112"/>
        <v>13.838406400389871</v>
      </c>
      <c r="AL115" s="16">
        <f t="shared" si="112"/>
        <v>0</v>
      </c>
      <c r="AM115" s="16">
        <f t="shared" si="112"/>
        <v>0.19899689321176925</v>
      </c>
      <c r="AN115" s="16">
        <f t="shared" si="112"/>
        <v>8.5792027940788262</v>
      </c>
      <c r="AO115" s="16">
        <f t="shared" si="112"/>
        <v>8.8533311673807553</v>
      </c>
      <c r="AP115" s="16">
        <f t="shared" si="112"/>
        <v>2.7615895384490425</v>
      </c>
      <c r="AQ115" s="16">
        <f t="shared" si="112"/>
        <v>6.0917416289317114E-2</v>
      </c>
      <c r="AR115" s="16">
        <f t="shared" si="112"/>
        <v>9.3406704976952901E-2</v>
      </c>
      <c r="AS115" s="16">
        <f t="shared" si="113"/>
        <v>100</v>
      </c>
      <c r="AT115" s="16">
        <f t="shared" si="114"/>
        <v>12.440727353950495</v>
      </c>
      <c r="AV115" s="1" t="s">
        <v>401</v>
      </c>
      <c r="AW115" s="69">
        <v>7.4892051895390992</v>
      </c>
      <c r="AX115" s="69">
        <v>0.26426190623272477</v>
      </c>
      <c r="AY115" s="69">
        <v>52.013895005161132</v>
      </c>
      <c r="AZ115" s="69">
        <v>420.92940903643887</v>
      </c>
      <c r="BA115" s="69"/>
      <c r="BB115" s="69">
        <v>27.886277898069292</v>
      </c>
      <c r="BC115" s="69"/>
      <c r="BD115" s="69">
        <v>56.621282977413252</v>
      </c>
      <c r="BE115" s="69"/>
      <c r="BF115" s="69">
        <v>46.19404358289426</v>
      </c>
      <c r="BG115" s="69"/>
      <c r="BH115" s="69">
        <v>155.51930692597358</v>
      </c>
      <c r="BI115" s="69"/>
      <c r="BJ115" s="69">
        <v>105.1749598865604</v>
      </c>
      <c r="BK115" s="69"/>
      <c r="BL115" s="69">
        <v>17.69312189546941</v>
      </c>
      <c r="BM115" s="69"/>
      <c r="BN115" s="69">
        <v>0.47240323118798999</v>
      </c>
      <c r="BP115" s="69">
        <v>100.07720402724659</v>
      </c>
      <c r="BQ115" s="69"/>
      <c r="BR115" s="69">
        <v>28.12296703728666</v>
      </c>
      <c r="BS115" s="69"/>
      <c r="BT115" s="69">
        <v>64.887845957808949</v>
      </c>
      <c r="BV115" s="9">
        <v>2.3361142647078639</v>
      </c>
      <c r="BZ115" s="9">
        <v>1.4504346998496263E-2</v>
      </c>
      <c r="CA115" s="9">
        <v>16.715261176770706</v>
      </c>
      <c r="CB115" s="9">
        <v>3.0543986900937781</v>
      </c>
      <c r="CC115" s="9">
        <v>8.1029976855022312</v>
      </c>
      <c r="CD115" s="9">
        <v>1.3267526073479496</v>
      </c>
      <c r="CE115" s="9">
        <v>6.8834377001903881</v>
      </c>
      <c r="CF115" s="9">
        <v>2.6938780793784423</v>
      </c>
      <c r="CG115" s="9">
        <v>1.0578482125475341</v>
      </c>
      <c r="CH115" s="9">
        <v>3.8447137284901238</v>
      </c>
      <c r="CI115" s="9">
        <v>0.72287876385006344</v>
      </c>
      <c r="CJ115" s="9">
        <v>4.9458893396240331</v>
      </c>
      <c r="CK115" s="9">
        <v>1.0995719603763838</v>
      </c>
      <c r="CL115" s="9">
        <v>3.2571897385576714</v>
      </c>
      <c r="CM115" s="9">
        <v>0.51702271125756794</v>
      </c>
      <c r="CN115" s="9">
        <v>3.2928498680064187</v>
      </c>
      <c r="CO115" s="9">
        <v>0.51919776019553732</v>
      </c>
      <c r="CP115" s="9">
        <v>1.9304187757565938</v>
      </c>
      <c r="CQ115" s="9">
        <v>0.1628166402006434</v>
      </c>
      <c r="CR115" s="9">
        <v>0.85005959797914898</v>
      </c>
      <c r="CS115" s="9">
        <v>0.46376944159471789</v>
      </c>
      <c r="CT115" s="9">
        <v>0.1444486996657689</v>
      </c>
    </row>
    <row r="116" spans="1:98">
      <c r="A116" s="57" t="s">
        <v>658</v>
      </c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P116" s="69"/>
      <c r="BQ116" s="69"/>
      <c r="BR116" s="69"/>
      <c r="BS116" s="69"/>
      <c r="BT116" s="69"/>
    </row>
    <row r="117" spans="1:98">
      <c r="A117" s="1" t="s">
        <v>271</v>
      </c>
      <c r="B117" s="13" t="s">
        <v>279</v>
      </c>
      <c r="C117" s="26" t="s">
        <v>816</v>
      </c>
      <c r="D117" s="62">
        <v>64.971111111111114</v>
      </c>
      <c r="E117" s="62">
        <v>2.7608333333333333</v>
      </c>
      <c r="I117" s="4">
        <v>23.31</v>
      </c>
      <c r="J117" s="1" t="s">
        <v>281</v>
      </c>
      <c r="K117" s="1" t="s">
        <v>283</v>
      </c>
      <c r="L117" s="1" t="s">
        <v>864</v>
      </c>
      <c r="M117" s="78" t="s">
        <v>862</v>
      </c>
      <c r="N117" s="78"/>
      <c r="O117" s="7"/>
      <c r="P117" s="1" t="s">
        <v>815</v>
      </c>
      <c r="Q117" s="1" t="s">
        <v>269</v>
      </c>
      <c r="R117" s="26">
        <v>67.400302885194691</v>
      </c>
      <c r="S117" s="26">
        <v>0.75918366911406243</v>
      </c>
      <c r="T117" s="26">
        <v>14.718912189872491</v>
      </c>
      <c r="U117" s="26">
        <v>6.2193584613912929</v>
      </c>
      <c r="W117" s="26">
        <v>9.6785762643037149E-2</v>
      </c>
      <c r="X117" s="26">
        <v>1.131841245851938</v>
      </c>
      <c r="Y117" s="26">
        <v>1.0181892903109446</v>
      </c>
      <c r="Z117" s="26">
        <v>2.057484509304603</v>
      </c>
      <c r="AA117" s="26">
        <v>3.4512691152563804</v>
      </c>
      <c r="AB117" s="26">
        <v>0.25587270517940175</v>
      </c>
      <c r="AC117" s="17">
        <v>3.1265647845856117</v>
      </c>
      <c r="AD117" s="23">
        <f t="shared" ref="AD117:AD124" si="115">SUM(R117:AB117)+AC117</f>
        <v>100.23576461870447</v>
      </c>
      <c r="AE117" s="21">
        <f t="shared" ref="AE117:AE124" si="116">V117+0.899*U117</f>
        <v>5.5912032567907728</v>
      </c>
      <c r="AF117" s="23">
        <f t="shared" ref="AF117:AF124" si="117">(X117/40.3)/((X117/40.3)+(AE117/71.844))</f>
        <v>0.26518264531541208</v>
      </c>
      <c r="AG117" s="44"/>
      <c r="AH117" s="16">
        <f t="shared" ref="AH117:AH125" si="118">100*R117/SUM($R117:$AB117)</f>
        <v>69.406712237694606</v>
      </c>
      <c r="AI117" s="16">
        <f t="shared" ref="AI117:AI125" si="119">100*S117/SUM($R117:$AB117)</f>
        <v>0.78178346687120659</v>
      </c>
      <c r="AJ117" s="16">
        <f t="shared" ref="AJ117:AJ125" si="120">100*T117/SUM($R117:$AB117)</f>
        <v>15.157072877765666</v>
      </c>
      <c r="AK117" s="16">
        <f t="shared" ref="AK117:AK125" si="121">100*U117/SUM($R117:$AB117)</f>
        <v>6.4044997508116124</v>
      </c>
      <c r="AL117" s="16">
        <f t="shared" ref="AL117:AL125" si="122">100*V117/SUM($R117:$AB117)</f>
        <v>0</v>
      </c>
      <c r="AM117" s="16">
        <f t="shared" ref="AM117:AM125" si="123">100*W117/SUM($R117:$AB117)</f>
        <v>9.9666934552406772E-2</v>
      </c>
      <c r="AN117" s="16">
        <f t="shared" ref="AN117:AN125" si="124">100*X117/SUM($R117:$AB117)</f>
        <v>1.1655345196802569</v>
      </c>
      <c r="AO117" s="16">
        <f t="shared" ref="AO117:AO125" si="125">100*Y117/SUM($R117:$AB117)</f>
        <v>1.0484993101067739</v>
      </c>
      <c r="AP117" s="16">
        <f t="shared" ref="AP117:AP125" si="126">100*Z117/SUM($R117:$AB117)</f>
        <v>2.1187328418102314</v>
      </c>
      <c r="AQ117" s="16">
        <f t="shared" ref="AQ117:AQ125" si="127">100*AA117/SUM($R117:$AB117)</f>
        <v>3.5540083958593112</v>
      </c>
      <c r="AR117" s="16">
        <f t="shared" ref="AR117:AR125" si="128">100*AB117/SUM($R117:$AB117)</f>
        <v>0.26348966484790465</v>
      </c>
      <c r="AS117" s="16">
        <f t="shared" ref="AS117:AS124" si="129">SUM(AH117:AR117)</f>
        <v>99.999999999999972</v>
      </c>
      <c r="AT117" s="16">
        <f t="shared" ref="AT117:AT124" si="130">AL117+0.899*AK117</f>
        <v>5.7576452759796393</v>
      </c>
      <c r="AU117" s="44"/>
      <c r="AV117" s="1" t="s">
        <v>401</v>
      </c>
      <c r="AW117" s="73">
        <v>72.285676002201313</v>
      </c>
      <c r="AX117" s="73">
        <v>2.2762010287428494</v>
      </c>
      <c r="AY117" s="73">
        <v>15.361644512907597</v>
      </c>
      <c r="AZ117" s="73">
        <v>89.200652632584465</v>
      </c>
      <c r="BA117" s="73"/>
      <c r="BB117" s="73">
        <v>42.539733453713588</v>
      </c>
      <c r="BC117" s="69"/>
      <c r="BD117" s="73">
        <v>8.4748618678670393</v>
      </c>
      <c r="BE117" s="73"/>
      <c r="BF117" s="73">
        <v>19.986246205276618</v>
      </c>
      <c r="BG117" s="69"/>
      <c r="BH117" s="73">
        <v>18.815723211192612</v>
      </c>
      <c r="BI117" s="73"/>
      <c r="BJ117" s="73">
        <v>92.337829196259634</v>
      </c>
      <c r="BK117" s="73"/>
      <c r="BL117" s="73">
        <v>20.560070012274394</v>
      </c>
      <c r="BM117" s="73">
        <v>1.9570988966165199</v>
      </c>
      <c r="BN117" s="73">
        <v>141.90366141972493</v>
      </c>
      <c r="BO117" s="31"/>
      <c r="BP117" s="73">
        <v>89.491751044244722</v>
      </c>
      <c r="BQ117" s="69"/>
      <c r="BR117" s="73">
        <v>47.384949159546146</v>
      </c>
      <c r="BS117" s="69"/>
      <c r="BT117" s="73">
        <v>97.456290411663119</v>
      </c>
      <c r="BV117" s="31">
        <v>12.336581084241628</v>
      </c>
      <c r="BW117" s="31"/>
      <c r="BZ117" s="31">
        <v>7.0965269656444265</v>
      </c>
      <c r="CA117" s="31">
        <v>588.55009134066177</v>
      </c>
      <c r="CB117" s="31">
        <v>45.591374474671859</v>
      </c>
      <c r="CC117" s="31">
        <v>103.36362955794822</v>
      </c>
      <c r="CD117" s="31">
        <v>11.430136527401764</v>
      </c>
      <c r="CE117" s="31">
        <v>46.314202720841848</v>
      </c>
      <c r="CF117" s="31">
        <v>10.227817045049113</v>
      </c>
      <c r="CG117" s="31">
        <v>1.2276527790480298</v>
      </c>
      <c r="CH117" s="31">
        <v>9.5667761090956915</v>
      </c>
      <c r="CI117" s="31">
        <v>1.5724022564864402</v>
      </c>
      <c r="CJ117" s="31">
        <v>9.1933392906762919</v>
      </c>
      <c r="CK117" s="31">
        <v>1.8294356546608195</v>
      </c>
      <c r="CL117" s="31">
        <v>5.0240494769512356</v>
      </c>
      <c r="CM117" s="31">
        <v>0.72528381888204663</v>
      </c>
      <c r="CN117" s="31">
        <v>4.2910072218672886</v>
      </c>
      <c r="CO117" s="31">
        <v>0.62390797766669015</v>
      </c>
      <c r="CP117" s="31">
        <v>3.0127399658074623</v>
      </c>
      <c r="CQ117" s="31">
        <v>0.83389016878533329</v>
      </c>
      <c r="CR117" s="31">
        <v>23.607375975831193</v>
      </c>
      <c r="CS117" s="31">
        <v>16.055737277768511</v>
      </c>
      <c r="CT117" s="31">
        <v>1.9378791105126603</v>
      </c>
    </row>
    <row r="118" spans="1:98">
      <c r="A118" s="1" t="s">
        <v>271</v>
      </c>
      <c r="B118" s="13" t="s">
        <v>279</v>
      </c>
      <c r="C118" s="26" t="s">
        <v>817</v>
      </c>
      <c r="D118" s="62">
        <v>64.971111111111114</v>
      </c>
      <c r="E118" s="62">
        <v>2.7608333333333333</v>
      </c>
      <c r="I118" s="4">
        <v>25.52</v>
      </c>
      <c r="J118" s="1" t="s">
        <v>281</v>
      </c>
      <c r="K118" s="1" t="s">
        <v>283</v>
      </c>
      <c r="L118" s="1" t="s">
        <v>864</v>
      </c>
      <c r="M118" s="78" t="s">
        <v>862</v>
      </c>
      <c r="N118" s="78"/>
      <c r="O118" s="7"/>
      <c r="P118" s="1" t="s">
        <v>815</v>
      </c>
      <c r="Q118" s="1" t="s">
        <v>269</v>
      </c>
      <c r="R118" s="26">
        <v>68.499586827242993</v>
      </c>
      <c r="S118" s="26">
        <v>0.69863453872954717</v>
      </c>
      <c r="T118" s="26">
        <v>14.389795324770551</v>
      </c>
      <c r="U118" s="26">
        <v>5.9759006164618622</v>
      </c>
      <c r="W118" s="26">
        <v>0.10754441138493</v>
      </c>
      <c r="X118" s="26">
        <v>1.105026721611444</v>
      </c>
      <c r="Y118" s="26">
        <v>0.89539565011637268</v>
      </c>
      <c r="Z118" s="26">
        <v>2.1657213467676741</v>
      </c>
      <c r="AA118" s="26">
        <v>3.5372216570124695</v>
      </c>
      <c r="AB118" s="26">
        <v>0.25869113513312364</v>
      </c>
      <c r="AC118" s="17">
        <v>2.9390681003588286</v>
      </c>
      <c r="AD118" s="23">
        <f t="shared" si="115"/>
        <v>100.57258632958977</v>
      </c>
      <c r="AE118" s="21">
        <f t="shared" si="116"/>
        <v>5.3723346541992143</v>
      </c>
      <c r="AF118" s="23">
        <f t="shared" si="117"/>
        <v>0.2683034185727165</v>
      </c>
      <c r="AG118" s="44"/>
      <c r="AH118" s="16">
        <f t="shared" si="118"/>
        <v>70.159908266764262</v>
      </c>
      <c r="AI118" s="16">
        <f t="shared" si="119"/>
        <v>0.71556833288465871</v>
      </c>
      <c r="AJ118" s="16">
        <f t="shared" si="120"/>
        <v>14.738581161220845</v>
      </c>
      <c r="AK118" s="16">
        <f t="shared" si="121"/>
        <v>6.1207469779294605</v>
      </c>
      <c r="AL118" s="16">
        <f t="shared" si="122"/>
        <v>0</v>
      </c>
      <c r="AM118" s="16">
        <f t="shared" si="123"/>
        <v>0.11015111750088689</v>
      </c>
      <c r="AN118" s="16">
        <f t="shared" si="124"/>
        <v>1.1318108183062536</v>
      </c>
      <c r="AO118" s="16">
        <f t="shared" si="125"/>
        <v>0.91709862182175883</v>
      </c>
      <c r="AP118" s="16">
        <f t="shared" si="126"/>
        <v>2.2182150003883288</v>
      </c>
      <c r="AQ118" s="16">
        <f t="shared" si="127"/>
        <v>3.6229583048595337</v>
      </c>
      <c r="AR118" s="16">
        <f t="shared" si="128"/>
        <v>0.26496139832403676</v>
      </c>
      <c r="AS118" s="16">
        <f t="shared" si="129"/>
        <v>100.00000000000003</v>
      </c>
      <c r="AT118" s="16">
        <f t="shared" si="130"/>
        <v>5.5025515331585853</v>
      </c>
      <c r="AU118" s="44"/>
      <c r="AV118" s="1" t="s">
        <v>401</v>
      </c>
      <c r="AW118" s="73">
        <v>73.198959863465589</v>
      </c>
      <c r="AX118" s="73">
        <v>2.0751524890288344</v>
      </c>
      <c r="AY118" s="73">
        <v>15.577565851640601</v>
      </c>
      <c r="AZ118" s="73">
        <v>82.58513588413858</v>
      </c>
      <c r="BA118" s="73"/>
      <c r="BB118" s="73">
        <v>38.270062979983365</v>
      </c>
      <c r="BC118" s="69"/>
      <c r="BD118" s="73">
        <v>10.55905945379229</v>
      </c>
      <c r="BE118" s="73"/>
      <c r="BF118" s="73">
        <v>21.369268777290824</v>
      </c>
      <c r="BG118" s="69"/>
      <c r="BH118" s="73">
        <v>21.930469629536255</v>
      </c>
      <c r="BI118" s="73"/>
      <c r="BJ118" s="73">
        <v>90.438770942733271</v>
      </c>
      <c r="BK118" s="73"/>
      <c r="BL118" s="73">
        <v>20.575723959748537</v>
      </c>
      <c r="BM118" s="73">
        <v>2.0852396417957872</v>
      </c>
      <c r="BN118" s="73">
        <v>152.49588251239516</v>
      </c>
      <c r="BO118" s="31"/>
      <c r="BP118" s="73">
        <v>83.350429252894202</v>
      </c>
      <c r="BQ118" s="69"/>
      <c r="BR118" s="73">
        <v>49.622777218579166</v>
      </c>
      <c r="BS118" s="69"/>
      <c r="BT118" s="73">
        <v>83.490171207389068</v>
      </c>
      <c r="BV118" s="31">
        <v>12.472443917012361</v>
      </c>
      <c r="BW118" s="31"/>
      <c r="BZ118" s="31">
        <v>6.7319609205847097</v>
      </c>
      <c r="CA118" s="31">
        <v>624.64316011355038</v>
      </c>
      <c r="CB118" s="31">
        <v>42.738582365336313</v>
      </c>
      <c r="CC118" s="31">
        <v>92.905853257470966</v>
      </c>
      <c r="CD118" s="31">
        <v>10.594676643771095</v>
      </c>
      <c r="CE118" s="31">
        <v>42.760681714382535</v>
      </c>
      <c r="CF118" s="31">
        <v>9.5656239911041911</v>
      </c>
      <c r="CG118" s="31">
        <v>1.2142769031624259</v>
      </c>
      <c r="CH118" s="31">
        <v>9.3025144327211873</v>
      </c>
      <c r="CI118" s="31">
        <v>1.5822593761183825</v>
      </c>
      <c r="CJ118" s="31">
        <v>9.2942316412591328</v>
      </c>
      <c r="CK118" s="31">
        <v>1.8905894149385383</v>
      </c>
      <c r="CL118" s="31">
        <v>5.2128641389629573</v>
      </c>
      <c r="CM118" s="31">
        <v>0.74368936938285857</v>
      </c>
      <c r="CN118" s="31">
        <v>4.5364625187274985</v>
      </c>
      <c r="CO118" s="31">
        <v>0.65014656632529577</v>
      </c>
      <c r="CP118" s="31">
        <v>2.7559196137892714</v>
      </c>
      <c r="CQ118" s="31">
        <v>0.93494838730122609</v>
      </c>
      <c r="CR118" s="31">
        <v>24.633135178564494</v>
      </c>
      <c r="CS118" s="31">
        <v>15.187864535990077</v>
      </c>
      <c r="CT118" s="31">
        <v>2.1345063716265886</v>
      </c>
    </row>
    <row r="119" spans="1:98">
      <c r="A119" s="1" t="s">
        <v>271</v>
      </c>
      <c r="B119" s="13" t="s">
        <v>263</v>
      </c>
      <c r="C119" s="26" t="s">
        <v>818</v>
      </c>
      <c r="D119" s="62">
        <v>64.971111111111114</v>
      </c>
      <c r="E119" s="62">
        <v>2.7608333333333333</v>
      </c>
      <c r="I119" s="4">
        <v>153.13999999999999</v>
      </c>
      <c r="J119" s="1" t="s">
        <v>281</v>
      </c>
      <c r="K119" s="1" t="s">
        <v>283</v>
      </c>
      <c r="L119" s="1" t="s">
        <v>864</v>
      </c>
      <c r="M119" s="78" t="s">
        <v>862</v>
      </c>
      <c r="N119" s="78"/>
      <c r="O119" s="7"/>
      <c r="P119" s="1" t="s">
        <v>815</v>
      </c>
      <c r="Q119" s="1" t="s">
        <v>269</v>
      </c>
      <c r="R119" s="26">
        <v>64.39</v>
      </c>
      <c r="S119" s="26">
        <v>0.78</v>
      </c>
      <c r="T119" s="26">
        <v>15.61</v>
      </c>
      <c r="U119" s="26">
        <v>7.16</v>
      </c>
      <c r="W119" s="26">
        <v>0.15</v>
      </c>
      <c r="X119" s="26">
        <v>1.44</v>
      </c>
      <c r="Y119" s="26">
        <v>0.49</v>
      </c>
      <c r="Z119" s="26">
        <v>1.39</v>
      </c>
      <c r="AA119" s="26">
        <v>3.57</v>
      </c>
      <c r="AB119" s="26">
        <v>0.22</v>
      </c>
      <c r="AC119" s="17">
        <v>3.35</v>
      </c>
      <c r="AD119" s="23">
        <f t="shared" si="115"/>
        <v>98.549999999999983</v>
      </c>
      <c r="AE119" s="21">
        <f t="shared" si="116"/>
        <v>6.4368400000000001</v>
      </c>
      <c r="AF119" s="23">
        <f t="shared" si="117"/>
        <v>0.28511094245347701</v>
      </c>
      <c r="AG119" s="44"/>
      <c r="AH119" s="16">
        <f t="shared" si="118"/>
        <v>67.636554621848745</v>
      </c>
      <c r="AI119" s="16">
        <f t="shared" si="119"/>
        <v>0.81932773109243706</v>
      </c>
      <c r="AJ119" s="16">
        <f t="shared" si="120"/>
        <v>16.397058823529413</v>
      </c>
      <c r="AK119" s="16">
        <f t="shared" si="121"/>
        <v>7.5210084033613454</v>
      </c>
      <c r="AL119" s="16">
        <f t="shared" si="122"/>
        <v>0</v>
      </c>
      <c r="AM119" s="16">
        <f t="shared" si="123"/>
        <v>0.15756302521008406</v>
      </c>
      <c r="AN119" s="16">
        <f t="shared" si="124"/>
        <v>1.5126050420168069</v>
      </c>
      <c r="AO119" s="16">
        <f t="shared" si="125"/>
        <v>0.51470588235294124</v>
      </c>
      <c r="AP119" s="16">
        <f t="shared" si="126"/>
        <v>1.4600840336134455</v>
      </c>
      <c r="AQ119" s="16">
        <f t="shared" si="127"/>
        <v>3.7500000000000004</v>
      </c>
      <c r="AR119" s="16">
        <f t="shared" si="128"/>
        <v>0.23109243697478996</v>
      </c>
      <c r="AS119" s="16">
        <f t="shared" si="129"/>
        <v>100.00000000000001</v>
      </c>
      <c r="AT119" s="16">
        <f t="shared" si="130"/>
        <v>6.7613865546218497</v>
      </c>
      <c r="AU119" s="44"/>
      <c r="AV119" s="1" t="s">
        <v>401</v>
      </c>
      <c r="AW119" s="73">
        <v>82.437865342131417</v>
      </c>
      <c r="AX119" s="73">
        <v>2.7216269548356098</v>
      </c>
      <c r="AY119" s="73">
        <v>17.33051908152818</v>
      </c>
      <c r="AZ119" s="73">
        <v>103.01182271703897</v>
      </c>
      <c r="BA119" s="73"/>
      <c r="BB119" s="73">
        <v>46.883423288252835</v>
      </c>
      <c r="BC119" s="69"/>
      <c r="BD119" s="73">
        <v>8.6494409499072713</v>
      </c>
      <c r="BE119" s="73"/>
      <c r="BF119" s="73">
        <v>20.772758679051098</v>
      </c>
      <c r="BG119" s="69"/>
      <c r="BH119" s="73">
        <v>9.6825079716699651</v>
      </c>
      <c r="BI119" s="73"/>
      <c r="BJ119" s="73">
        <v>69.719022883003333</v>
      </c>
      <c r="BK119" s="73"/>
      <c r="BL119" s="73">
        <v>22.937870236391092</v>
      </c>
      <c r="BM119" s="73">
        <v>2.3113472494435383</v>
      </c>
      <c r="BN119" s="73">
        <v>146.96221129644792</v>
      </c>
      <c r="BO119" s="31"/>
      <c r="BP119" s="73">
        <v>70.056923668154994</v>
      </c>
      <c r="BQ119" s="69"/>
      <c r="BR119" s="73">
        <v>48.671088987705076</v>
      </c>
      <c r="BS119" s="69"/>
      <c r="BT119" s="73">
        <v>116.6194220064481</v>
      </c>
      <c r="BV119" s="31">
        <v>12.57566917958512</v>
      </c>
      <c r="BW119" s="31"/>
      <c r="BZ119" s="31">
        <v>12.13863515404193</v>
      </c>
      <c r="CA119" s="31">
        <v>575.43108095142259</v>
      </c>
      <c r="CB119" s="31">
        <v>48.874849667020683</v>
      </c>
      <c r="CC119" s="31">
        <v>87.384586419470466</v>
      </c>
      <c r="CD119" s="31">
        <v>11.370923976490502</v>
      </c>
      <c r="CE119" s="31">
        <v>44.589701625504794</v>
      </c>
      <c r="CF119" s="31">
        <v>9.7676715647406915</v>
      </c>
      <c r="CG119" s="31">
        <v>1.2164402927702853</v>
      </c>
      <c r="CH119" s="31">
        <v>9.0563719605795168</v>
      </c>
      <c r="CI119" s="31">
        <v>1.5440345808730691</v>
      </c>
      <c r="CJ119" s="31">
        <v>9.0471118521502376</v>
      </c>
      <c r="CK119" s="31">
        <v>1.8146942399635815</v>
      </c>
      <c r="CL119" s="31">
        <v>4.916814706703768</v>
      </c>
      <c r="CM119" s="31">
        <v>0.72956674199050675</v>
      </c>
      <c r="CN119" s="31">
        <v>4.4277128691888841</v>
      </c>
      <c r="CO119" s="31">
        <v>0.6362168765714612</v>
      </c>
      <c r="CP119" s="31">
        <v>3.6183631063299626</v>
      </c>
      <c r="CQ119" s="31">
        <v>0.76623347483954174</v>
      </c>
      <c r="CR119" s="31">
        <v>18.678703314024592</v>
      </c>
      <c r="CS119" s="31">
        <v>14.243666983781292</v>
      </c>
      <c r="CT119" s="31">
        <v>3.2353916610494804</v>
      </c>
    </row>
    <row r="120" spans="1:98">
      <c r="A120" s="1" t="s">
        <v>271</v>
      </c>
      <c r="B120" s="13" t="s">
        <v>263</v>
      </c>
      <c r="C120" s="26" t="s">
        <v>819</v>
      </c>
      <c r="D120" s="62">
        <v>64.971111111111114</v>
      </c>
      <c r="E120" s="62">
        <v>2.7608333333333333</v>
      </c>
      <c r="I120" s="4">
        <v>157.58000000000001</v>
      </c>
      <c r="J120" s="1" t="s">
        <v>281</v>
      </c>
      <c r="K120" s="1" t="s">
        <v>283</v>
      </c>
      <c r="L120" s="1" t="s">
        <v>864</v>
      </c>
      <c r="M120" s="78" t="s">
        <v>862</v>
      </c>
      <c r="N120" s="78"/>
      <c r="O120" s="7"/>
      <c r="P120" s="1" t="s">
        <v>815</v>
      </c>
      <c r="Q120" s="1" t="s">
        <v>269</v>
      </c>
      <c r="R120" s="26">
        <v>67.442291232823067</v>
      </c>
      <c r="S120" s="26">
        <v>0.69369082828493844</v>
      </c>
      <c r="T120" s="26">
        <v>14.57604478076353</v>
      </c>
      <c r="U120" s="26">
        <v>6.1699501828438388</v>
      </c>
      <c r="W120" s="26">
        <v>9.9146041791044776E-2</v>
      </c>
      <c r="X120" s="26">
        <v>1.1179876470588235</v>
      </c>
      <c r="Y120" s="26">
        <v>0.60976264895209586</v>
      </c>
      <c r="Z120" s="26">
        <v>1.6973297274902133</v>
      </c>
      <c r="AA120" s="26">
        <v>3.7086866843989772</v>
      </c>
      <c r="AB120" s="26">
        <v>0.2494620456893768</v>
      </c>
      <c r="AC120" s="17">
        <v>3.5988095941974421</v>
      </c>
      <c r="AD120" s="23">
        <f t="shared" si="115"/>
        <v>99.963161414293353</v>
      </c>
      <c r="AE120" s="21">
        <f t="shared" si="116"/>
        <v>5.5467852143766114</v>
      </c>
      <c r="AF120" s="23">
        <f t="shared" si="117"/>
        <v>0.26433792724259636</v>
      </c>
      <c r="AG120" s="44"/>
      <c r="AH120" s="16">
        <f t="shared" si="118"/>
        <v>69.986763734718124</v>
      </c>
      <c r="AI120" s="16">
        <f t="shared" si="119"/>
        <v>0.71986249601927543</v>
      </c>
      <c r="AJ120" s="16">
        <f t="shared" si="120"/>
        <v>15.125971902945782</v>
      </c>
      <c r="AK120" s="16">
        <f t="shared" si="121"/>
        <v>6.4027309542460404</v>
      </c>
      <c r="AL120" s="16">
        <f t="shared" si="122"/>
        <v>0</v>
      </c>
      <c r="AM120" s="16">
        <f t="shared" si="123"/>
        <v>0.10288663797183221</v>
      </c>
      <c r="AN120" s="16">
        <f t="shared" si="124"/>
        <v>1.1601672464377821</v>
      </c>
      <c r="AO120" s="16">
        <f t="shared" si="125"/>
        <v>0.63276786221783676</v>
      </c>
      <c r="AP120" s="16">
        <f t="shared" si="126"/>
        <v>1.7613668285332156</v>
      </c>
      <c r="AQ120" s="16">
        <f t="shared" si="127"/>
        <v>3.8486085511401367</v>
      </c>
      <c r="AR120" s="16">
        <f t="shared" si="128"/>
        <v>0.25887378576997161</v>
      </c>
      <c r="AS120" s="16">
        <f t="shared" si="129"/>
        <v>99.999999999999986</v>
      </c>
      <c r="AT120" s="16">
        <f t="shared" si="130"/>
        <v>5.7560551278671905</v>
      </c>
      <c r="AU120" s="44"/>
      <c r="AV120" s="1" t="s">
        <v>401</v>
      </c>
      <c r="AW120" s="73">
        <v>95.144453610587931</v>
      </c>
      <c r="AX120" s="73">
        <v>2.2962124155802015</v>
      </c>
      <c r="AY120" s="73">
        <v>15.127661340781014</v>
      </c>
      <c r="AZ120" s="73">
        <v>82.423589229596146</v>
      </c>
      <c r="BA120" s="73"/>
      <c r="BB120" s="73">
        <v>44.346780589264014</v>
      </c>
      <c r="BC120" s="69"/>
      <c r="BD120" s="73">
        <v>9.9876108164479493</v>
      </c>
      <c r="BE120" s="73"/>
      <c r="BF120" s="73">
        <v>18.295590677772097</v>
      </c>
      <c r="BG120" s="69"/>
      <c r="BH120" s="73">
        <v>16.015376720723975</v>
      </c>
      <c r="BI120" s="73"/>
      <c r="BJ120" s="73">
        <v>59.152316298998009</v>
      </c>
      <c r="BK120" s="73"/>
      <c r="BL120" s="73">
        <v>20.891027451111587</v>
      </c>
      <c r="BM120" s="73">
        <v>1.9951378171867582</v>
      </c>
      <c r="BN120" s="73">
        <v>165.80408490070718</v>
      </c>
      <c r="BO120" s="31"/>
      <c r="BP120" s="73">
        <v>71.586978821905845</v>
      </c>
      <c r="BQ120" s="69"/>
      <c r="BR120" s="73">
        <v>50.689268276850854</v>
      </c>
      <c r="BS120" s="69"/>
      <c r="BT120" s="73">
        <v>103.26429101623415</v>
      </c>
      <c r="BV120" s="31">
        <v>9.0050176897139007</v>
      </c>
      <c r="BW120" s="31"/>
      <c r="BZ120" s="31">
        <v>5.6123970514930219</v>
      </c>
      <c r="CA120" s="31">
        <v>882.2624120443752</v>
      </c>
      <c r="CB120" s="31">
        <v>42.010693801685868</v>
      </c>
      <c r="CC120" s="31">
        <v>92.56819397662376</v>
      </c>
      <c r="CD120" s="31">
        <v>10.801578413938129</v>
      </c>
      <c r="CE120" s="31">
        <v>43.83557631639767</v>
      </c>
      <c r="CF120" s="31">
        <v>9.9465645183892466</v>
      </c>
      <c r="CG120" s="31">
        <v>1.1803249104200484</v>
      </c>
      <c r="CH120" s="31">
        <v>9.5702209039728618</v>
      </c>
      <c r="CI120" s="31">
        <v>1.6224858288312427</v>
      </c>
      <c r="CJ120" s="31">
        <v>9.6067322290195669</v>
      </c>
      <c r="CK120" s="31">
        <v>1.9194454352631127</v>
      </c>
      <c r="CL120" s="31">
        <v>5.340842652472781</v>
      </c>
      <c r="CM120" s="31">
        <v>0.77447212611666849</v>
      </c>
      <c r="CN120" s="31">
        <v>4.6340430803401693</v>
      </c>
      <c r="CO120" s="31">
        <v>0.65353231897555919</v>
      </c>
      <c r="CP120" s="31">
        <v>3.2522307510727386</v>
      </c>
      <c r="CQ120" s="31">
        <v>0.40788838528135679</v>
      </c>
      <c r="CR120" s="31">
        <v>20.021631237702028</v>
      </c>
      <c r="CS120" s="31">
        <v>15.103680444371177</v>
      </c>
      <c r="CT120" s="31">
        <v>2.9550935808107242</v>
      </c>
    </row>
    <row r="121" spans="1:98">
      <c r="A121" s="1" t="s">
        <v>271</v>
      </c>
      <c r="B121" s="13" t="s">
        <v>263</v>
      </c>
      <c r="C121" s="26" t="s">
        <v>820</v>
      </c>
      <c r="D121" s="62">
        <v>64.971111111111114</v>
      </c>
      <c r="E121" s="62">
        <v>2.7608333333333333</v>
      </c>
      <c r="I121" s="4">
        <v>162.87</v>
      </c>
      <c r="J121" s="1" t="s">
        <v>281</v>
      </c>
      <c r="K121" s="1" t="s">
        <v>283</v>
      </c>
      <c r="L121" s="1" t="s">
        <v>864</v>
      </c>
      <c r="M121" s="78" t="s">
        <v>862</v>
      </c>
      <c r="N121" s="78"/>
      <c r="O121" s="7"/>
      <c r="P121" s="1" t="s">
        <v>815</v>
      </c>
      <c r="Q121" s="1" t="s">
        <v>269</v>
      </c>
      <c r="R121" s="26">
        <v>68.354054680478967</v>
      </c>
      <c r="S121" s="26">
        <v>0.7501638099393666</v>
      </c>
      <c r="T121" s="26">
        <v>14.046664635817105</v>
      </c>
      <c r="U121" s="26">
        <v>5.8626274277022645</v>
      </c>
      <c r="W121" s="26">
        <v>0.21446682800044337</v>
      </c>
      <c r="X121" s="26">
        <v>0.87761891776953527</v>
      </c>
      <c r="Y121" s="26">
        <v>0.52327405043114805</v>
      </c>
      <c r="Z121" s="26">
        <v>1.729812916799103</v>
      </c>
      <c r="AA121" s="26">
        <v>3.741893602191539</v>
      </c>
      <c r="AB121" s="26">
        <v>0.12295660223158304</v>
      </c>
      <c r="AC121" s="17">
        <v>3.3777794905392606</v>
      </c>
      <c r="AD121" s="23">
        <f t="shared" si="115"/>
        <v>99.601312961900319</v>
      </c>
      <c r="AE121" s="21">
        <f t="shared" si="116"/>
        <v>5.270502057504336</v>
      </c>
      <c r="AF121" s="23">
        <f t="shared" si="117"/>
        <v>0.22890177097735073</v>
      </c>
      <c r="AG121" s="44"/>
      <c r="AH121" s="16">
        <f t="shared" si="118"/>
        <v>71.036733130178732</v>
      </c>
      <c r="AI121" s="16">
        <f t="shared" si="119"/>
        <v>0.7796053448428365</v>
      </c>
      <c r="AJ121" s="16">
        <f t="shared" si="120"/>
        <v>14.597951383689109</v>
      </c>
      <c r="AK121" s="16">
        <f t="shared" si="121"/>
        <v>6.0927168398437095</v>
      </c>
      <c r="AL121" s="16">
        <f t="shared" si="122"/>
        <v>0</v>
      </c>
      <c r="AM121" s="16">
        <f t="shared" si="123"/>
        <v>0.22288396638881999</v>
      </c>
      <c r="AN121" s="16">
        <f t="shared" si="124"/>
        <v>0.91206265879930548</v>
      </c>
      <c r="AO121" s="16">
        <f t="shared" si="125"/>
        <v>0.54381088654044252</v>
      </c>
      <c r="AP121" s="16">
        <f t="shared" si="126"/>
        <v>1.7977025519582961</v>
      </c>
      <c r="AQ121" s="16">
        <f t="shared" si="127"/>
        <v>3.8887509813856878</v>
      </c>
      <c r="AR121" s="16">
        <f t="shared" si="128"/>
        <v>0.12778225637305091</v>
      </c>
      <c r="AS121" s="16">
        <f t="shared" si="129"/>
        <v>99.999999999999972</v>
      </c>
      <c r="AT121" s="16">
        <f t="shared" si="130"/>
        <v>5.4773524390194952</v>
      </c>
      <c r="AU121" s="44"/>
      <c r="AV121" s="1" t="s">
        <v>401</v>
      </c>
      <c r="AW121" s="73">
        <v>101.8853469824496</v>
      </c>
      <c r="AX121" s="73">
        <v>1.7365177788146664</v>
      </c>
      <c r="AY121" s="73">
        <v>16.228360339076094</v>
      </c>
      <c r="AZ121" s="73">
        <v>94.264820029887574</v>
      </c>
      <c r="BA121" s="73"/>
      <c r="BB121" s="73">
        <v>45.071159111843102</v>
      </c>
      <c r="BC121" s="69"/>
      <c r="BD121" s="73">
        <v>9.7233338966947827</v>
      </c>
      <c r="BE121" s="73"/>
      <c r="BF121" s="73">
        <v>18.289917446249603</v>
      </c>
      <c r="BG121" s="69"/>
      <c r="BH121" s="73">
        <v>17.146426077886908</v>
      </c>
      <c r="BI121" s="73"/>
      <c r="BJ121" s="73">
        <v>68.051291194297463</v>
      </c>
      <c r="BK121" s="73"/>
      <c r="BL121" s="73">
        <v>19.284642437011975</v>
      </c>
      <c r="BM121" s="73">
        <v>2.0841784789071229</v>
      </c>
      <c r="BN121" s="73">
        <v>162.60848423395129</v>
      </c>
      <c r="BO121" s="31"/>
      <c r="BP121" s="73">
        <v>69.767671776396782</v>
      </c>
      <c r="BQ121" s="69"/>
      <c r="BR121" s="73">
        <v>38.086076988931779</v>
      </c>
      <c r="BS121" s="69"/>
      <c r="BT121" s="73">
        <v>120.63524335253167</v>
      </c>
      <c r="BV121" s="31">
        <v>13.196840657755368</v>
      </c>
      <c r="BW121" s="31"/>
      <c r="BZ121" s="31">
        <v>6.8035338784100183</v>
      </c>
      <c r="CA121" s="31">
        <v>839.85849656700793</v>
      </c>
      <c r="CB121" s="31">
        <v>38.44910053467833</v>
      </c>
      <c r="CC121" s="31">
        <v>111.94353782074245</v>
      </c>
      <c r="CD121" s="31">
        <v>9.5149900734059116</v>
      </c>
      <c r="CE121" s="31">
        <v>37.941072600860366</v>
      </c>
      <c r="CF121" s="31">
        <v>8.2358464297582294</v>
      </c>
      <c r="CG121" s="31">
        <v>1.0868551085312084</v>
      </c>
      <c r="CH121" s="31">
        <v>7.692575788136911</v>
      </c>
      <c r="CI121" s="31">
        <v>1.2568391057101491</v>
      </c>
      <c r="CJ121" s="31">
        <v>7.4181347263546336</v>
      </c>
      <c r="CK121" s="31">
        <v>1.4942254231181884</v>
      </c>
      <c r="CL121" s="31">
        <v>4.2414006315811825</v>
      </c>
      <c r="CM121" s="31">
        <v>0.63720366100013182</v>
      </c>
      <c r="CN121" s="31">
        <v>3.8555369181683865</v>
      </c>
      <c r="CO121" s="31">
        <v>0.57078021466942863</v>
      </c>
      <c r="CP121" s="31">
        <v>3.7788130693057358</v>
      </c>
      <c r="CQ121" s="31">
        <v>1.0195558099398772</v>
      </c>
      <c r="CR121" s="31">
        <v>33.973544735350423</v>
      </c>
      <c r="CS121" s="31">
        <v>14.727822520655909</v>
      </c>
      <c r="CT121" s="31">
        <v>3.428870829723238</v>
      </c>
    </row>
    <row r="122" spans="1:98">
      <c r="A122" s="1" t="s">
        <v>271</v>
      </c>
      <c r="B122" s="13" t="s">
        <v>263</v>
      </c>
      <c r="C122" s="26" t="s">
        <v>821</v>
      </c>
      <c r="D122" s="62">
        <v>64.971111111111114</v>
      </c>
      <c r="E122" s="62">
        <v>2.7608333333333333</v>
      </c>
      <c r="I122" s="4">
        <v>162.81</v>
      </c>
      <c r="J122" s="1" t="s">
        <v>281</v>
      </c>
      <c r="K122" s="1" t="s">
        <v>283</v>
      </c>
      <c r="L122" s="1" t="s">
        <v>864</v>
      </c>
      <c r="M122" s="78" t="s">
        <v>862</v>
      </c>
      <c r="N122" s="78"/>
      <c r="O122" s="7"/>
      <c r="P122" s="1" t="s">
        <v>815</v>
      </c>
      <c r="Q122" s="1" t="s">
        <v>269</v>
      </c>
      <c r="R122" s="26">
        <v>66.553528958704163</v>
      </c>
      <c r="S122" s="26">
        <v>0.79919224462084815</v>
      </c>
      <c r="T122" s="26">
        <v>14.370972047998519</v>
      </c>
      <c r="U122" s="26">
        <v>6.0331483924606015</v>
      </c>
      <c r="W122" s="26">
        <v>0.12791684552238808</v>
      </c>
      <c r="X122" s="26">
        <v>0.8890567914438503</v>
      </c>
      <c r="Y122" s="26">
        <v>0.5735339865269462</v>
      </c>
      <c r="Z122" s="26">
        <v>1.4730732629404093</v>
      </c>
      <c r="AA122" s="26">
        <v>3.468280560869565</v>
      </c>
      <c r="AB122" s="26">
        <v>0.11705352308685826</v>
      </c>
      <c r="AC122" s="17">
        <v>4.1416326203633886</v>
      </c>
      <c r="AD122" s="23">
        <f t="shared" si="115"/>
        <v>98.547389234537519</v>
      </c>
      <c r="AE122" s="21">
        <f t="shared" si="116"/>
        <v>5.4238004048220807</v>
      </c>
      <c r="AF122" s="23">
        <f t="shared" si="117"/>
        <v>0.22613849856544213</v>
      </c>
      <c r="AG122" s="44"/>
      <c r="AH122" s="16">
        <f t="shared" si="118"/>
        <v>70.497320656727595</v>
      </c>
      <c r="AI122" s="16">
        <f t="shared" si="119"/>
        <v>0.84655033049208883</v>
      </c>
      <c r="AJ122" s="16">
        <f t="shared" si="120"/>
        <v>15.222559050854375</v>
      </c>
      <c r="AK122" s="16">
        <f t="shared" si="121"/>
        <v>6.3906573167115335</v>
      </c>
      <c r="AL122" s="16">
        <f t="shared" si="122"/>
        <v>0</v>
      </c>
      <c r="AM122" s="16">
        <f t="shared" si="123"/>
        <v>0.13549687022282977</v>
      </c>
      <c r="AN122" s="16">
        <f t="shared" si="124"/>
        <v>0.94174002023767145</v>
      </c>
      <c r="AO122" s="16">
        <f t="shared" si="125"/>
        <v>0.60752014188172454</v>
      </c>
      <c r="AP122" s="16">
        <f t="shared" si="126"/>
        <v>1.560363812305108</v>
      </c>
      <c r="AQ122" s="16">
        <f t="shared" si="127"/>
        <v>3.6738019854488781</v>
      </c>
      <c r="AR122" s="16">
        <f t="shared" si="128"/>
        <v>0.12398981511820624</v>
      </c>
      <c r="AS122" s="16">
        <f t="shared" si="129"/>
        <v>100.00000000000001</v>
      </c>
      <c r="AT122" s="16">
        <f t="shared" si="130"/>
        <v>5.7452009277236691</v>
      </c>
      <c r="AU122" s="44"/>
      <c r="AV122" s="1" t="s">
        <v>401</v>
      </c>
      <c r="AW122" s="73">
        <v>107.77072095149363</v>
      </c>
      <c r="AX122" s="73">
        <v>2.0014039658274236</v>
      </c>
      <c r="AY122" s="73">
        <v>17.001942911753524</v>
      </c>
      <c r="AZ122" s="73">
        <v>99.85184440735766</v>
      </c>
      <c r="BA122" s="73"/>
      <c r="BB122" s="73">
        <v>50.438612647855194</v>
      </c>
      <c r="BC122" s="69"/>
      <c r="BD122" s="73">
        <v>8.7091519608850145</v>
      </c>
      <c r="BE122" s="73"/>
      <c r="BF122" s="73">
        <v>19.468070738134955</v>
      </c>
      <c r="BG122" s="69"/>
      <c r="BH122" s="73">
        <v>14.726450517004595</v>
      </c>
      <c r="BI122" s="73"/>
      <c r="BJ122" s="73">
        <v>83.267880410484381</v>
      </c>
      <c r="BK122" s="73"/>
      <c r="BL122" s="73">
        <v>21.237898048355106</v>
      </c>
      <c r="BM122" s="73">
        <v>2.1079142571957217</v>
      </c>
      <c r="BN122" s="73">
        <v>150.9485778300301</v>
      </c>
      <c r="BO122" s="31"/>
      <c r="BP122" s="73">
        <v>62.807189005268675</v>
      </c>
      <c r="BQ122" s="69"/>
      <c r="BR122" s="73">
        <v>38.837053526309937</v>
      </c>
      <c r="BS122" s="69"/>
      <c r="BT122" s="73">
        <v>111.09950891234513</v>
      </c>
      <c r="BV122" s="31">
        <v>12.422946735461881</v>
      </c>
      <c r="BW122" s="31"/>
      <c r="BZ122" s="31">
        <v>7.6495641080449879</v>
      </c>
      <c r="CA122" s="31">
        <v>611.7096563558423</v>
      </c>
      <c r="CB122" s="31">
        <v>38.469530919968115</v>
      </c>
      <c r="CC122" s="31">
        <v>83.450839258727015</v>
      </c>
      <c r="CD122" s="31">
        <v>9.4771205795860016</v>
      </c>
      <c r="CE122" s="31">
        <v>37.778960750131809</v>
      </c>
      <c r="CF122" s="31">
        <v>8.1523074096549788</v>
      </c>
      <c r="CG122" s="31">
        <v>1.0307223158416374</v>
      </c>
      <c r="CH122" s="31">
        <v>7.6832698110060802</v>
      </c>
      <c r="CI122" s="31">
        <v>1.2630130637007564</v>
      </c>
      <c r="CJ122" s="31">
        <v>7.4584351777963853</v>
      </c>
      <c r="CK122" s="31">
        <v>1.516580622788553</v>
      </c>
      <c r="CL122" s="31">
        <v>4.2617669718555726</v>
      </c>
      <c r="CM122" s="31">
        <v>0.63386249431538388</v>
      </c>
      <c r="CN122" s="31">
        <v>3.9027222076637922</v>
      </c>
      <c r="CO122" s="31">
        <v>0.57082679846139595</v>
      </c>
      <c r="CP122" s="31">
        <v>3.5542228969688061</v>
      </c>
      <c r="CQ122" s="31">
        <v>0.59994013866420648</v>
      </c>
      <c r="CR122" s="31">
        <v>23.728043789938027</v>
      </c>
      <c r="CS122" s="31">
        <v>15.166218407813478</v>
      </c>
      <c r="CT122" s="31">
        <v>3.7201254423070234</v>
      </c>
    </row>
    <row r="123" spans="1:98">
      <c r="A123" s="1" t="s">
        <v>271</v>
      </c>
      <c r="B123" s="13" t="s">
        <v>263</v>
      </c>
      <c r="C123" s="26" t="s">
        <v>822</v>
      </c>
      <c r="D123" s="62">
        <v>64.971111111111114</v>
      </c>
      <c r="E123" s="62">
        <v>2.7608333333333333</v>
      </c>
      <c r="I123" s="4">
        <v>165.965</v>
      </c>
      <c r="J123" s="1" t="s">
        <v>281</v>
      </c>
      <c r="K123" s="1" t="s">
        <v>283</v>
      </c>
      <c r="L123" s="1" t="s">
        <v>864</v>
      </c>
      <c r="M123" s="78" t="s">
        <v>862</v>
      </c>
      <c r="N123" s="78"/>
      <c r="P123" s="1" t="s">
        <v>815</v>
      </c>
      <c r="Q123" s="1" t="s">
        <v>269</v>
      </c>
      <c r="R123" s="26">
        <v>65.923883154949309</v>
      </c>
      <c r="S123" s="26">
        <v>0.75027829441485716</v>
      </c>
      <c r="T123" s="26">
        <v>14.944048499355985</v>
      </c>
      <c r="U123" s="26">
        <v>6.2881534217086363</v>
      </c>
      <c r="W123" s="26">
        <v>0.15930312261570936</v>
      </c>
      <c r="X123" s="26">
        <v>1.2382490621548432</v>
      </c>
      <c r="Y123" s="26">
        <v>0.65282924237248263</v>
      </c>
      <c r="Z123" s="26">
        <v>1.8605945230897736</v>
      </c>
      <c r="AA123" s="26">
        <v>3.0600313080282855</v>
      </c>
      <c r="AB123" s="26">
        <v>0.28510443849608297</v>
      </c>
      <c r="AC123" s="17">
        <v>3.3588814291091729</v>
      </c>
      <c r="AD123" s="23">
        <f t="shared" si="115"/>
        <v>98.521356496295141</v>
      </c>
      <c r="AE123" s="21">
        <f t="shared" si="116"/>
        <v>5.6530499261160641</v>
      </c>
      <c r="AF123" s="23">
        <f t="shared" si="117"/>
        <v>0.28082939888223002</v>
      </c>
      <c r="AH123" s="16">
        <f t="shared" si="118"/>
        <v>69.275082545305992</v>
      </c>
      <c r="AI123" s="16">
        <f t="shared" si="119"/>
        <v>0.78841822250330373</v>
      </c>
      <c r="AJ123" s="16">
        <f t="shared" si="120"/>
        <v>15.703719863113362</v>
      </c>
      <c r="AK123" s="16">
        <f t="shared" si="121"/>
        <v>6.6078077700996296</v>
      </c>
      <c r="AL123" s="16">
        <f t="shared" si="122"/>
        <v>0</v>
      </c>
      <c r="AM123" s="16">
        <f t="shared" si="123"/>
        <v>0.16740119727154978</v>
      </c>
      <c r="AN123" s="16">
        <f t="shared" si="124"/>
        <v>1.3011946791848603</v>
      </c>
      <c r="AO123" s="16">
        <f t="shared" si="125"/>
        <v>0.68601540881694867</v>
      </c>
      <c r="AP123" s="16">
        <f t="shared" si="126"/>
        <v>1.9551766825906634</v>
      </c>
      <c r="AQ123" s="16">
        <f t="shared" si="127"/>
        <v>3.215586086708929</v>
      </c>
      <c r="AR123" s="16">
        <f t="shared" si="128"/>
        <v>0.29959754440476194</v>
      </c>
      <c r="AS123" s="16">
        <f t="shared" si="129"/>
        <v>99.999999999999986</v>
      </c>
      <c r="AT123" s="16">
        <f t="shared" si="130"/>
        <v>5.9404191853195671</v>
      </c>
      <c r="AV123" s="1" t="s">
        <v>401</v>
      </c>
      <c r="AW123" s="73">
        <v>115.90914459576258</v>
      </c>
      <c r="AX123" s="73">
        <v>2.063336913016832</v>
      </c>
      <c r="AY123" s="73">
        <v>15.423855243032742</v>
      </c>
      <c r="AZ123" s="73">
        <v>85.326474030947395</v>
      </c>
      <c r="BA123" s="73"/>
      <c r="BB123" s="73">
        <v>41.810744963213629</v>
      </c>
      <c r="BC123" s="69"/>
      <c r="BD123" s="73">
        <v>13.652059212259145</v>
      </c>
      <c r="BE123" s="73"/>
      <c r="BF123" s="73">
        <v>21.447204902065518</v>
      </c>
      <c r="BG123" s="69"/>
      <c r="BH123" s="73">
        <v>20.52466721912019</v>
      </c>
      <c r="BI123" s="73"/>
      <c r="BJ123" s="73">
        <v>64.877432542095207</v>
      </c>
      <c r="BK123" s="73"/>
      <c r="BL123" s="73">
        <v>21.350012396430152</v>
      </c>
      <c r="BM123" s="73">
        <v>2.0477502436486583</v>
      </c>
      <c r="BN123" s="73">
        <v>157.75906154236506</v>
      </c>
      <c r="BO123" s="31"/>
      <c r="BP123" s="73">
        <v>72.850932867185335</v>
      </c>
      <c r="BQ123" s="69"/>
      <c r="BR123" s="73">
        <v>55.482474135798952</v>
      </c>
      <c r="BS123" s="69"/>
      <c r="BT123" s="73">
        <v>126.95744285176819</v>
      </c>
      <c r="BV123" s="31">
        <v>12.502346571570213</v>
      </c>
      <c r="BW123" s="31"/>
      <c r="BZ123" s="31">
        <v>8.7508003736555775</v>
      </c>
      <c r="CA123" s="31">
        <v>916.35664119382307</v>
      </c>
      <c r="CB123" s="31">
        <v>46.700682683113193</v>
      </c>
      <c r="CC123" s="31">
        <v>109.83612741925188</v>
      </c>
      <c r="CD123" s="31">
        <v>11.673346832710623</v>
      </c>
      <c r="CE123" s="31">
        <v>46.815018024862532</v>
      </c>
      <c r="CF123" s="31">
        <v>10.754077509367155</v>
      </c>
      <c r="CG123" s="31">
        <v>1.3893354943800136</v>
      </c>
      <c r="CH123" s="31">
        <v>10.247912706695404</v>
      </c>
      <c r="CI123" s="31">
        <v>1.7538267108883674</v>
      </c>
      <c r="CJ123" s="31">
        <v>10.360789317182281</v>
      </c>
      <c r="CK123" s="31">
        <v>2.0628738985262873</v>
      </c>
      <c r="CL123" s="31">
        <v>5.8114614651965368</v>
      </c>
      <c r="CM123" s="31">
        <v>0.84552204496688999</v>
      </c>
      <c r="CN123" s="31">
        <v>5.0810697862350169</v>
      </c>
      <c r="CO123" s="31">
        <v>0.69866550335497668</v>
      </c>
      <c r="CP123" s="31">
        <v>3.8754940930023252</v>
      </c>
      <c r="CQ123" s="31">
        <v>0.98563197908790001</v>
      </c>
      <c r="CR123" s="31">
        <v>23.210342605854308</v>
      </c>
      <c r="CS123" s="31">
        <v>16.260332341231326</v>
      </c>
      <c r="CT123" s="31">
        <v>3.5852727781398479</v>
      </c>
    </row>
    <row r="124" spans="1:98">
      <c r="A124" s="1" t="s">
        <v>271</v>
      </c>
      <c r="B124" s="13" t="s">
        <v>263</v>
      </c>
      <c r="C124" s="26" t="s">
        <v>823</v>
      </c>
      <c r="D124" s="62">
        <v>64.971111111111114</v>
      </c>
      <c r="E124" s="62">
        <v>2.7608333333333333</v>
      </c>
      <c r="I124" s="4">
        <v>166.035</v>
      </c>
      <c r="J124" s="1" t="s">
        <v>281</v>
      </c>
      <c r="K124" s="1" t="s">
        <v>283</v>
      </c>
      <c r="L124" s="1" t="s">
        <v>864</v>
      </c>
      <c r="M124" s="78" t="s">
        <v>862</v>
      </c>
      <c r="N124" s="78"/>
      <c r="P124" s="1" t="s">
        <v>815</v>
      </c>
      <c r="Q124" s="1" t="s">
        <v>269</v>
      </c>
      <c r="R124" s="26">
        <v>66.41</v>
      </c>
      <c r="S124" s="26">
        <v>0.79</v>
      </c>
      <c r="T124" s="26">
        <v>14.66</v>
      </c>
      <c r="U124" s="26">
        <v>6.08</v>
      </c>
      <c r="W124" s="26">
        <v>0.12</v>
      </c>
      <c r="X124" s="26">
        <v>0.84</v>
      </c>
      <c r="Y124" s="26">
        <v>0.56999999999999995</v>
      </c>
      <c r="Z124" s="26">
        <v>1.55</v>
      </c>
      <c r="AA124" s="26">
        <v>3.82</v>
      </c>
      <c r="AB124" s="26">
        <v>0.12</v>
      </c>
      <c r="AC124" s="17">
        <v>4.0999999999999996</v>
      </c>
      <c r="AD124" s="23">
        <f t="shared" si="115"/>
        <v>99.059999999999988</v>
      </c>
      <c r="AE124" s="21">
        <f t="shared" si="116"/>
        <v>5.4659200000000006</v>
      </c>
      <c r="AF124" s="23">
        <f t="shared" si="117"/>
        <v>0.21505156252066809</v>
      </c>
      <c r="AH124" s="16">
        <f t="shared" si="118"/>
        <v>69.934709351305813</v>
      </c>
      <c r="AI124" s="16">
        <f t="shared" si="119"/>
        <v>0.83192923336141533</v>
      </c>
      <c r="AJ124" s="16">
        <f t="shared" si="120"/>
        <v>15.438079191238417</v>
      </c>
      <c r="AK124" s="16">
        <f t="shared" si="121"/>
        <v>6.4026958719460829</v>
      </c>
      <c r="AL124" s="16">
        <f t="shared" si="122"/>
        <v>0</v>
      </c>
      <c r="AM124" s="16">
        <f t="shared" si="123"/>
        <v>0.12636899747262006</v>
      </c>
      <c r="AN124" s="16">
        <f t="shared" si="124"/>
        <v>0.88458298230834043</v>
      </c>
      <c r="AO124" s="16">
        <f t="shared" si="125"/>
        <v>0.60025273799494516</v>
      </c>
      <c r="AP124" s="16">
        <f t="shared" si="126"/>
        <v>1.6322662173546758</v>
      </c>
      <c r="AQ124" s="16">
        <f t="shared" si="127"/>
        <v>4.0227464195450722</v>
      </c>
      <c r="AR124" s="16">
        <f t="shared" si="128"/>
        <v>0.12636899747262006</v>
      </c>
      <c r="AS124" s="16">
        <f t="shared" si="129"/>
        <v>100.00000000000001</v>
      </c>
      <c r="AT124" s="16">
        <f t="shared" si="130"/>
        <v>5.756023588879529</v>
      </c>
      <c r="AV124" s="1" t="s">
        <v>401</v>
      </c>
      <c r="AW124" s="73">
        <v>107.35606396937871</v>
      </c>
      <c r="AX124" s="73">
        <v>1.9693881128325281</v>
      </c>
      <c r="AY124" s="73">
        <v>18.072441692508686</v>
      </c>
      <c r="AZ124" s="73">
        <v>99.16114704534499</v>
      </c>
      <c r="BA124" s="73"/>
      <c r="BB124" s="73">
        <v>49.886282396598212</v>
      </c>
      <c r="BC124" s="69"/>
      <c r="BD124" s="73">
        <v>14.803338906624829</v>
      </c>
      <c r="BE124" s="73"/>
      <c r="BF124" s="73">
        <v>25.954825926958804</v>
      </c>
      <c r="BG124" s="69"/>
      <c r="BH124" s="73">
        <v>38.453556165382253</v>
      </c>
      <c r="BI124" s="73"/>
      <c r="BJ124" s="73">
        <v>63.63612406083876</v>
      </c>
      <c r="BK124" s="73"/>
      <c r="BL124" s="73">
        <v>21.70318543561104</v>
      </c>
      <c r="BM124" s="73">
        <v>2.1868847562936091</v>
      </c>
      <c r="BN124" s="73">
        <v>164.27321902935458</v>
      </c>
      <c r="BO124" s="31"/>
      <c r="BP124" s="73">
        <v>56.906557299307558</v>
      </c>
      <c r="BQ124" s="69"/>
      <c r="BR124" s="73">
        <v>55.65645392977482</v>
      </c>
      <c r="BS124" s="69"/>
      <c r="BT124" s="73">
        <v>128.59181451226621</v>
      </c>
      <c r="BV124" s="31">
        <v>11.026252814078246</v>
      </c>
      <c r="BW124" s="31"/>
      <c r="BZ124" s="31">
        <v>9.7902722133886222</v>
      </c>
      <c r="CA124" s="31">
        <v>606.30999934345061</v>
      </c>
      <c r="CB124" s="31">
        <v>42.137142848209038</v>
      </c>
      <c r="CC124" s="31">
        <v>101.21778120975257</v>
      </c>
      <c r="CD124" s="31">
        <v>10.987611529126001</v>
      </c>
      <c r="CE124" s="31">
        <v>45.056677699477298</v>
      </c>
      <c r="CF124" s="31">
        <v>10.540365071263476</v>
      </c>
      <c r="CG124" s="31">
        <v>1.5325536432758848</v>
      </c>
      <c r="CH124" s="31">
        <v>10.154945647303457</v>
      </c>
      <c r="CI124" s="31">
        <v>1.7618364824517683</v>
      </c>
      <c r="CJ124" s="31">
        <v>10.450073049219844</v>
      </c>
      <c r="CK124" s="31">
        <v>2.1004053343440914</v>
      </c>
      <c r="CL124" s="31">
        <v>5.8461503110046609</v>
      </c>
      <c r="CM124" s="31">
        <v>0.86390746580398492</v>
      </c>
      <c r="CN124" s="31">
        <v>5.0701055892327114</v>
      </c>
      <c r="CO124" s="31">
        <v>0.71543889930721916</v>
      </c>
      <c r="CP124" s="31">
        <v>3.9151412282621068</v>
      </c>
      <c r="CQ124" s="31">
        <v>0.76573475397705892</v>
      </c>
      <c r="CR124" s="31">
        <v>20.473805982527065</v>
      </c>
      <c r="CS124" s="31">
        <v>15.556065359733422</v>
      </c>
      <c r="CT124" s="31">
        <v>4.9303213857060584</v>
      </c>
    </row>
    <row r="125" spans="1:98">
      <c r="A125" s="1" t="s">
        <v>271</v>
      </c>
      <c r="B125" s="1" t="s">
        <v>263</v>
      </c>
      <c r="C125" s="1" t="s">
        <v>824</v>
      </c>
      <c r="D125" s="62">
        <v>64.971111111111114</v>
      </c>
      <c r="E125" s="62">
        <v>2.7608333333333333</v>
      </c>
      <c r="I125" s="9">
        <v>166.02500000000001</v>
      </c>
      <c r="J125" s="1" t="s">
        <v>281</v>
      </c>
      <c r="K125" s="1" t="s">
        <v>283</v>
      </c>
      <c r="L125" s="1" t="s">
        <v>864</v>
      </c>
      <c r="M125" s="78" t="s">
        <v>862</v>
      </c>
      <c r="N125" s="78"/>
      <c r="P125" s="1" t="s">
        <v>815</v>
      </c>
      <c r="Q125" s="1" t="s">
        <v>286</v>
      </c>
      <c r="R125" s="4">
        <v>73.364000000000004</v>
      </c>
      <c r="S125" s="4">
        <v>0.68600000000000005</v>
      </c>
      <c r="T125" s="4">
        <v>12.507</v>
      </c>
      <c r="U125" s="4">
        <v>6.9370000000000003</v>
      </c>
      <c r="W125" s="4">
        <v>0.245</v>
      </c>
      <c r="X125" s="4">
        <v>0.91500000000000004</v>
      </c>
      <c r="Y125" s="4">
        <v>0.68</v>
      </c>
      <c r="Z125" s="4">
        <v>1.8779999999999999</v>
      </c>
      <c r="AA125" s="4">
        <v>3.524</v>
      </c>
      <c r="AB125" s="4">
        <v>0.56499999999999995</v>
      </c>
      <c r="AC125" s="9">
        <v>4.0828738241972049</v>
      </c>
      <c r="AD125" s="21">
        <f t="shared" ref="AD125" si="131">SUM(R125:AB125)</f>
        <v>101.30100000000003</v>
      </c>
      <c r="AE125" s="21">
        <f>V125+0.899*U125</f>
        <v>6.2363630000000008</v>
      </c>
      <c r="AF125" s="23">
        <f>(X125/40.3)/((X125/40.3)+(AE125/71.844))</f>
        <v>0.20733205861612183</v>
      </c>
      <c r="AH125" s="16">
        <f t="shared" si="118"/>
        <v>72.421792479837293</v>
      </c>
      <c r="AI125" s="16">
        <f t="shared" si="119"/>
        <v>0.67718976120670071</v>
      </c>
      <c r="AJ125" s="16">
        <f t="shared" si="120"/>
        <v>12.346373678443447</v>
      </c>
      <c r="AK125" s="16">
        <f t="shared" si="121"/>
        <v>6.8479087077126568</v>
      </c>
      <c r="AL125" s="16">
        <f t="shared" si="122"/>
        <v>0</v>
      </c>
      <c r="AM125" s="16">
        <f t="shared" si="123"/>
        <v>0.24185348614525023</v>
      </c>
      <c r="AN125" s="16">
        <f t="shared" si="124"/>
        <v>0.90324873397103655</v>
      </c>
      <c r="AO125" s="16">
        <f t="shared" si="125"/>
        <v>0.67126681868885774</v>
      </c>
      <c r="AP125" s="16">
        <f t="shared" si="126"/>
        <v>1.8538810080848158</v>
      </c>
      <c r="AQ125" s="16">
        <f t="shared" si="127"/>
        <v>3.4787415721463746</v>
      </c>
      <c r="AR125" s="16">
        <f t="shared" si="128"/>
        <v>0.55774375376353613</v>
      </c>
      <c r="AS125" s="16">
        <f>SUM(AH125:AR125)</f>
        <v>99.999999999999972</v>
      </c>
      <c r="AT125" s="16">
        <f>AL125+0.899*AK125</f>
        <v>6.1562699282336784</v>
      </c>
      <c r="AV125" s="1" t="s">
        <v>400</v>
      </c>
      <c r="AW125" s="69">
        <v>125.13504668665006</v>
      </c>
      <c r="AX125" s="69">
        <v>3.8636755904106625E-2</v>
      </c>
      <c r="AY125" s="69">
        <v>15.870813146041749</v>
      </c>
      <c r="AZ125" s="69">
        <v>77.18563942703102</v>
      </c>
      <c r="BA125" s="69"/>
      <c r="BB125" s="69">
        <v>23.326042413863991</v>
      </c>
      <c r="BC125" s="69"/>
      <c r="BD125" s="69">
        <v>15.419870534401023</v>
      </c>
      <c r="BE125" s="69"/>
      <c r="BF125" s="69"/>
      <c r="BG125" s="69"/>
      <c r="BH125" s="69">
        <v>21.411168845906911</v>
      </c>
      <c r="BI125" s="69"/>
      <c r="BJ125" s="69">
        <v>58.80033216264389</v>
      </c>
      <c r="BK125" s="69"/>
      <c r="BL125" s="69">
        <v>22.217870956894224</v>
      </c>
      <c r="BM125" s="69"/>
      <c r="BN125" s="69">
        <v>153.97985447106939</v>
      </c>
      <c r="BP125" s="69">
        <v>53.223516118593217</v>
      </c>
      <c r="BQ125" s="69"/>
      <c r="BR125" s="69">
        <v>39.195427211364098</v>
      </c>
      <c r="BS125" s="69"/>
      <c r="BT125" s="69">
        <v>7.5172885361484356</v>
      </c>
      <c r="BV125" s="9">
        <v>14.151817700546133</v>
      </c>
      <c r="BZ125" s="9">
        <v>8.1440136728962376</v>
      </c>
      <c r="CA125" s="9">
        <v>577.96887078909629</v>
      </c>
      <c r="CB125" s="9">
        <v>40.924932710543835</v>
      </c>
      <c r="CC125" s="9">
        <v>104.21358190153947</v>
      </c>
      <c r="CD125" s="9">
        <v>10.79172290971319</v>
      </c>
      <c r="CE125" s="9">
        <v>41.199274646416029</v>
      </c>
      <c r="CF125" s="9">
        <v>8.9022834445582237</v>
      </c>
      <c r="CG125" s="9">
        <v>1.3824888707508216</v>
      </c>
      <c r="CH125" s="9">
        <v>8.2669125628602025</v>
      </c>
      <c r="CI125" s="9">
        <v>1.4411559119267299</v>
      </c>
      <c r="CJ125" s="9">
        <v>7.6024547011650334</v>
      </c>
      <c r="CK125" s="9">
        <v>1.4507861849487607</v>
      </c>
      <c r="CL125" s="9">
        <v>3.5054818224540396</v>
      </c>
      <c r="CM125" s="9">
        <v>0.45086621953251471</v>
      </c>
      <c r="CN125" s="9">
        <v>2.5610847882195169</v>
      </c>
      <c r="CO125" s="9">
        <v>0.30756048391257573</v>
      </c>
      <c r="CP125" s="9">
        <v>0.39066231813261471</v>
      </c>
      <c r="CQ125" s="9">
        <v>0.88594836281902445</v>
      </c>
      <c r="CR125" s="9">
        <v>23.536219394594813</v>
      </c>
      <c r="CS125" s="9">
        <v>13.947269342214398</v>
      </c>
      <c r="CT125" s="9">
        <v>3.3315579948983527</v>
      </c>
    </row>
    <row r="126" spans="1:98">
      <c r="A126" s="57" t="s">
        <v>659</v>
      </c>
      <c r="AC126" s="6"/>
      <c r="AW126" s="6"/>
      <c r="AX126" s="6"/>
      <c r="AY126" s="6"/>
      <c r="AZ126" s="6"/>
      <c r="BA126" s="6"/>
      <c r="BB126" s="6"/>
      <c r="BD126" s="6"/>
      <c r="BE126" s="6"/>
      <c r="BF126" s="6"/>
      <c r="BH126" s="6"/>
      <c r="BI126" s="6"/>
      <c r="BJ126" s="6"/>
      <c r="BK126" s="6"/>
      <c r="BL126" s="6"/>
      <c r="BM126" s="6"/>
      <c r="BN126" s="6"/>
      <c r="BO126" s="6"/>
      <c r="BP126" s="69"/>
      <c r="BQ126" s="69"/>
      <c r="BR126" s="69"/>
      <c r="BS126" s="69"/>
      <c r="BT126" s="69"/>
      <c r="BV126" s="6"/>
      <c r="BW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</row>
    <row r="127" spans="1:98">
      <c r="A127" s="1" t="s">
        <v>271</v>
      </c>
      <c r="B127" s="13" t="s">
        <v>270</v>
      </c>
      <c r="C127" s="53" t="s">
        <v>277</v>
      </c>
      <c r="D127" s="55">
        <v>65.831500000000005</v>
      </c>
      <c r="E127" s="55">
        <v>1.9937199999999999</v>
      </c>
      <c r="J127" s="1" t="s">
        <v>282</v>
      </c>
      <c r="K127" s="1" t="s">
        <v>284</v>
      </c>
      <c r="L127" s="13" t="s">
        <v>288</v>
      </c>
      <c r="M127" s="78" t="s">
        <v>863</v>
      </c>
      <c r="N127" s="78"/>
      <c r="O127" s="7"/>
      <c r="P127" s="1" t="s">
        <v>815</v>
      </c>
      <c r="Q127" s="1" t="s">
        <v>269</v>
      </c>
      <c r="R127" s="4">
        <v>66.34</v>
      </c>
      <c r="S127" s="4">
        <v>0.51</v>
      </c>
      <c r="T127" s="4">
        <v>15.11</v>
      </c>
      <c r="U127" s="4">
        <v>4.6459999999999999</v>
      </c>
      <c r="W127" s="4">
        <v>0.06</v>
      </c>
      <c r="X127" s="4">
        <v>1.1000000000000001</v>
      </c>
      <c r="Y127" s="4">
        <v>1.23</v>
      </c>
      <c r="Z127" s="4">
        <v>2.72</v>
      </c>
      <c r="AA127" s="4">
        <v>3.59</v>
      </c>
      <c r="AB127" s="4">
        <v>0.21</v>
      </c>
      <c r="AC127" s="6">
        <v>4.4400000000000004</v>
      </c>
      <c r="AD127" s="23">
        <f>SUM(R127:AB127)+AC127</f>
        <v>99.956000000000003</v>
      </c>
      <c r="AE127" s="21">
        <f t="shared" ref="AE127:AE128" si="132">V127+0.899*U127</f>
        <v>4.1767539999999999</v>
      </c>
      <c r="AF127" s="23">
        <f t="shared" ref="AF127:AF128" si="133">(X127/40.3)/((X127/40.3)+(AE127/71.844))</f>
        <v>0.31949825434351714</v>
      </c>
      <c r="AG127" s="44"/>
      <c r="AH127" s="16">
        <f t="shared" ref="AH127:AR128" si="134">100*R127/SUM($R127:$AB127)</f>
        <v>69.454332258469776</v>
      </c>
      <c r="AI127" s="16">
        <f t="shared" si="134"/>
        <v>0.533941957368399</v>
      </c>
      <c r="AJ127" s="16">
        <f t="shared" si="134"/>
        <v>15.819339168306879</v>
      </c>
      <c r="AK127" s="16">
        <f t="shared" si="134"/>
        <v>4.8641065371246697</v>
      </c>
      <c r="AL127" s="16">
        <f t="shared" si="134"/>
        <v>0</v>
      </c>
      <c r="AM127" s="16">
        <f t="shared" si="134"/>
        <v>6.2816700866870467E-2</v>
      </c>
      <c r="AN127" s="16">
        <f t="shared" si="134"/>
        <v>1.1516395158926254</v>
      </c>
      <c r="AO127" s="16">
        <f t="shared" si="134"/>
        <v>1.2877423677708446</v>
      </c>
      <c r="AP127" s="16">
        <f t="shared" si="134"/>
        <v>2.8476904392981277</v>
      </c>
      <c r="AQ127" s="16">
        <f t="shared" si="134"/>
        <v>3.7585326018677496</v>
      </c>
      <c r="AR127" s="16">
        <f t="shared" si="134"/>
        <v>0.21985845303404664</v>
      </c>
      <c r="AS127" s="16">
        <f t="shared" ref="AS127:AS128" si="135">SUM(AH127:AR127)</f>
        <v>100.00000000000001</v>
      </c>
      <c r="AT127" s="16">
        <f t="shared" ref="AT127:AT128" si="136">AL127+0.899*AK127</f>
        <v>4.3728317768750777</v>
      </c>
      <c r="AU127" s="44"/>
      <c r="AV127" s="1" t="s">
        <v>401</v>
      </c>
      <c r="AW127" s="20">
        <v>33.840250209171337</v>
      </c>
      <c r="AX127" s="20">
        <v>1.4426269317299782</v>
      </c>
      <c r="AY127" s="20">
        <v>4.3922070604069949</v>
      </c>
      <c r="AZ127" s="20">
        <v>74.33001944940176</v>
      </c>
      <c r="BA127" s="20"/>
      <c r="BB127" s="20">
        <v>23.977147792241897</v>
      </c>
      <c r="BD127" s="20">
        <v>15.070903925145945</v>
      </c>
      <c r="BE127" s="20"/>
      <c r="BF127" s="20">
        <v>25.291517512149323</v>
      </c>
      <c r="BH127" s="20">
        <v>19.948050095115061</v>
      </c>
      <c r="BI127" s="20"/>
      <c r="BJ127" s="32">
        <v>124.25104782669268</v>
      </c>
      <c r="BK127" s="32"/>
      <c r="BL127" s="20">
        <v>19.593139062782981</v>
      </c>
      <c r="BM127" s="20">
        <v>5.4007411184161871</v>
      </c>
      <c r="BN127" s="32">
        <v>137.05604623969771</v>
      </c>
      <c r="BO127" s="32"/>
      <c r="BP127" s="74">
        <v>135.16897614886784</v>
      </c>
      <c r="BQ127" s="69"/>
      <c r="BR127" s="74">
        <v>11.983312161048996</v>
      </c>
      <c r="BS127" s="69"/>
      <c r="BT127" s="74">
        <v>52.011937228050364</v>
      </c>
      <c r="BV127" s="20">
        <v>17.531082816181677</v>
      </c>
      <c r="BW127" s="20"/>
      <c r="BZ127" s="20">
        <v>7.4516629186439163</v>
      </c>
      <c r="CA127" s="32">
        <v>932.36148084518072</v>
      </c>
      <c r="CB127" s="20">
        <v>28.942838345542445</v>
      </c>
      <c r="CC127" s="20">
        <v>63.884795532457666</v>
      </c>
      <c r="CD127" s="20">
        <v>7.072009614255041</v>
      </c>
      <c r="CE127" s="20">
        <v>27.842407262870243</v>
      </c>
      <c r="CF127" s="20">
        <v>5.8473902631643426</v>
      </c>
      <c r="CG127" s="20">
        <v>1.2245198710918699</v>
      </c>
      <c r="CH127" s="20">
        <v>5.0755711375420844</v>
      </c>
      <c r="CI127" s="20">
        <v>0.6666170937690592</v>
      </c>
      <c r="CJ127" s="20">
        <v>3.0942611832933142</v>
      </c>
      <c r="CK127" s="20">
        <v>0.44085323552658434</v>
      </c>
      <c r="CL127" s="20">
        <v>0.93428424313394554</v>
      </c>
      <c r="CM127" s="20">
        <v>0.10777740455988946</v>
      </c>
      <c r="CN127" s="20">
        <v>0.56774148011841463</v>
      </c>
      <c r="CO127" s="20">
        <v>7.6080926693287323E-2</v>
      </c>
      <c r="CP127" s="20">
        <v>1.7378997241083702</v>
      </c>
      <c r="CQ127" s="20">
        <v>1.1878930415103923</v>
      </c>
      <c r="CR127" s="20">
        <v>25.359127818503456</v>
      </c>
      <c r="CS127" s="20">
        <v>9.6521602779981919</v>
      </c>
      <c r="CT127" s="20">
        <v>2.5692450892052872</v>
      </c>
    </row>
    <row r="128" spans="1:98">
      <c r="A128" s="1" t="s">
        <v>271</v>
      </c>
      <c r="B128" s="13" t="s">
        <v>280</v>
      </c>
      <c r="C128" s="53" t="s">
        <v>278</v>
      </c>
      <c r="D128" s="55">
        <v>65.831180000000003</v>
      </c>
      <c r="E128" s="55">
        <v>1.9862299999999999</v>
      </c>
      <c r="J128" s="1" t="s">
        <v>282</v>
      </c>
      <c r="K128" s="1" t="s">
        <v>284</v>
      </c>
      <c r="L128" s="13" t="s">
        <v>288</v>
      </c>
      <c r="M128" s="78" t="s">
        <v>863</v>
      </c>
      <c r="N128" s="78"/>
      <c r="O128" s="7"/>
      <c r="P128" s="1" t="s">
        <v>815</v>
      </c>
      <c r="Q128" s="1" t="s">
        <v>286</v>
      </c>
      <c r="R128" s="4">
        <v>69.599999999999994</v>
      </c>
      <c r="S128" s="4">
        <v>0.61</v>
      </c>
      <c r="T128" s="4">
        <v>14.38</v>
      </c>
      <c r="U128" s="4">
        <v>5.8680000000000003</v>
      </c>
      <c r="W128" s="4">
        <v>0.09</v>
      </c>
      <c r="X128" s="4">
        <v>1.34</v>
      </c>
      <c r="Y128" s="4">
        <v>1.47</v>
      </c>
      <c r="Z128" s="4">
        <v>3.02</v>
      </c>
      <c r="AA128" s="4">
        <v>3.34</v>
      </c>
      <c r="AB128" s="4">
        <v>0.25</v>
      </c>
      <c r="AC128" s="6">
        <v>7.12</v>
      </c>
      <c r="AD128" s="23">
        <f t="shared" ref="AD128" si="137">SUM(R128:AB128)+AC128</f>
        <v>107.08799999999999</v>
      </c>
      <c r="AE128" s="21">
        <f t="shared" si="132"/>
        <v>5.2753320000000006</v>
      </c>
      <c r="AF128" s="23">
        <f t="shared" si="133"/>
        <v>0.31169082483790206</v>
      </c>
      <c r="AG128" s="44"/>
      <c r="AH128" s="16">
        <f t="shared" si="134"/>
        <v>69.622279129321385</v>
      </c>
      <c r="AI128" s="16">
        <f t="shared" si="134"/>
        <v>0.61019526248399492</v>
      </c>
      <c r="AJ128" s="16">
        <f t="shared" si="134"/>
        <v>14.384603072983356</v>
      </c>
      <c r="AK128" s="16">
        <f t="shared" si="134"/>
        <v>5.8698783610755454</v>
      </c>
      <c r="AL128" s="16">
        <f t="shared" si="134"/>
        <v>0</v>
      </c>
      <c r="AM128" s="16">
        <f t="shared" si="134"/>
        <v>9.0028809218950068E-2</v>
      </c>
      <c r="AN128" s="16">
        <f t="shared" si="134"/>
        <v>1.3404289372599234</v>
      </c>
      <c r="AO128" s="16">
        <f t="shared" si="134"/>
        <v>1.4704705505761846</v>
      </c>
      <c r="AP128" s="16">
        <f t="shared" si="134"/>
        <v>3.0209667093469914</v>
      </c>
      <c r="AQ128" s="16">
        <f t="shared" si="134"/>
        <v>3.3410691421254803</v>
      </c>
      <c r="AR128" s="16">
        <f t="shared" si="134"/>
        <v>0.25008002560819464</v>
      </c>
      <c r="AS128" s="16">
        <f t="shared" si="135"/>
        <v>100.00000000000001</v>
      </c>
      <c r="AT128" s="16">
        <f t="shared" si="136"/>
        <v>5.2770206466069158</v>
      </c>
      <c r="AU128" s="44"/>
      <c r="AV128" s="1" t="s">
        <v>400</v>
      </c>
      <c r="AW128" s="33"/>
      <c r="AX128" s="33"/>
      <c r="AY128" s="33">
        <v>6.6980248354088943</v>
      </c>
      <c r="AZ128" s="33">
        <v>91.417898109999314</v>
      </c>
      <c r="BA128" s="33"/>
      <c r="BB128" s="33"/>
      <c r="BD128" s="33">
        <v>11.314403867506794</v>
      </c>
      <c r="BE128" s="33"/>
      <c r="BF128" s="33"/>
      <c r="BH128" s="33">
        <v>26.424215133513787</v>
      </c>
      <c r="BI128" s="33"/>
      <c r="BJ128" s="33">
        <v>91.419207004170303</v>
      </c>
      <c r="BK128" s="33"/>
      <c r="BL128" s="33">
        <v>20.900520364855975</v>
      </c>
      <c r="BM128" s="33">
        <v>1.9358029955938671</v>
      </c>
      <c r="BN128" s="33">
        <v>143.71601953519581</v>
      </c>
      <c r="BO128" s="33"/>
      <c r="BP128" s="75">
        <v>127.51436829422803</v>
      </c>
      <c r="BQ128" s="69"/>
      <c r="BR128" s="75">
        <v>22.883837293736963</v>
      </c>
      <c r="BS128" s="69"/>
      <c r="BT128" s="75">
        <v>64.731412599967143</v>
      </c>
      <c r="BV128" s="33">
        <v>14.484934703800331</v>
      </c>
      <c r="BW128" s="33"/>
      <c r="BZ128" s="33">
        <v>7.3806817486161709</v>
      </c>
      <c r="CA128" s="33">
        <v>475.35720043750371</v>
      </c>
      <c r="CB128" s="33">
        <v>33.63846915364271</v>
      </c>
      <c r="CC128" s="33"/>
      <c r="CD128" s="33">
        <v>8.5640049683982635</v>
      </c>
      <c r="CE128" s="33">
        <v>32.182223447584711</v>
      </c>
      <c r="CF128" s="33">
        <v>6.6469440888491578</v>
      </c>
      <c r="CG128" s="33">
        <v>1.3252900001169641</v>
      </c>
      <c r="CH128" s="33">
        <v>6.0897756647922661</v>
      </c>
      <c r="CI128" s="33">
        <v>0.93509298942274233</v>
      </c>
      <c r="CJ128" s="33">
        <v>4.7196453332181267</v>
      </c>
      <c r="CK128" s="33">
        <v>0.80831701440722847</v>
      </c>
      <c r="CL128" s="33">
        <v>1.987745388683001</v>
      </c>
      <c r="CM128" s="33">
        <v>0.25788368330978034</v>
      </c>
      <c r="CN128" s="33">
        <v>1.6213332139551564</v>
      </c>
      <c r="CO128" s="33">
        <v>0.21087092136180166</v>
      </c>
      <c r="CP128" s="33">
        <v>1.8872153073102949</v>
      </c>
      <c r="CQ128" s="33">
        <v>0.92616400610857019</v>
      </c>
      <c r="CR128" s="33">
        <v>24.469769160930749</v>
      </c>
      <c r="CS128" s="33">
        <v>11.597864444624831</v>
      </c>
      <c r="CT128" s="33">
        <v>3.4105161711031342</v>
      </c>
    </row>
    <row r="129" spans="1:98">
      <c r="A129" s="57" t="s">
        <v>827</v>
      </c>
      <c r="B129" s="13"/>
      <c r="C129" s="53"/>
      <c r="L129" s="13"/>
      <c r="M129" s="13"/>
      <c r="N129" s="13"/>
      <c r="O129" s="7"/>
      <c r="AC129" s="6"/>
      <c r="AD129" s="23"/>
      <c r="AF129" s="23"/>
      <c r="AG129" s="44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44"/>
      <c r="AW129" s="33"/>
      <c r="AX129" s="33"/>
      <c r="AY129" s="33"/>
      <c r="AZ129" s="33"/>
      <c r="BA129" s="33"/>
      <c r="BB129" s="33"/>
      <c r="BD129" s="33"/>
      <c r="BE129" s="33"/>
      <c r="BF129" s="33"/>
      <c r="BH129" s="33"/>
      <c r="BI129" s="33"/>
      <c r="BJ129" s="33"/>
      <c r="BK129" s="33"/>
      <c r="BL129" s="33"/>
      <c r="BM129" s="33"/>
      <c r="BN129" s="33"/>
      <c r="BO129" s="33"/>
      <c r="BP129" s="33"/>
      <c r="BR129" s="33"/>
      <c r="BT129" s="33"/>
      <c r="BV129" s="33"/>
      <c r="BW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</row>
    <row r="130" spans="1:98">
      <c r="A130" s="1" t="s">
        <v>271</v>
      </c>
      <c r="B130" s="59" t="s">
        <v>848</v>
      </c>
      <c r="C130" s="59" t="s">
        <v>828</v>
      </c>
      <c r="D130" s="63">
        <v>65.364189999999994</v>
      </c>
      <c r="E130" s="63">
        <v>3.0542699999999998</v>
      </c>
      <c r="I130" s="59">
        <f>52.9+0.7</f>
        <v>53.6</v>
      </c>
      <c r="J130" s="59" t="s">
        <v>841</v>
      </c>
      <c r="K130" s="59" t="s">
        <v>842</v>
      </c>
      <c r="L130" s="1" t="s">
        <v>864</v>
      </c>
      <c r="M130" s="78" t="s">
        <v>862</v>
      </c>
      <c r="N130" s="78"/>
      <c r="O130" s="7"/>
      <c r="P130" s="1" t="s">
        <v>844</v>
      </c>
      <c r="Q130" s="1" t="s">
        <v>843</v>
      </c>
      <c r="R130" s="66">
        <v>49.07</v>
      </c>
      <c r="S130" s="66">
        <v>3.6629999999999998</v>
      </c>
      <c r="T130" s="66">
        <v>12.63</v>
      </c>
      <c r="U130" s="66">
        <v>15.86</v>
      </c>
      <c r="V130" s="59"/>
      <c r="W130" s="66">
        <v>0.20399999999999999</v>
      </c>
      <c r="X130" s="66">
        <v>4.75</v>
      </c>
      <c r="Y130" s="66">
        <v>9.06</v>
      </c>
      <c r="Z130" s="66">
        <v>2.62</v>
      </c>
      <c r="AA130" s="66">
        <v>0.78</v>
      </c>
      <c r="AB130" s="66">
        <v>0.33</v>
      </c>
      <c r="AC130" s="6">
        <v>1.62</v>
      </c>
      <c r="AD130" s="23">
        <f t="shared" ref="AD130:AD142" si="138">SUM(R130:AB130)+AC130</f>
        <v>100.587</v>
      </c>
      <c r="AE130" s="21">
        <f t="shared" ref="AE130:AE142" si="139">V130+0.899*U130</f>
        <v>14.258139999999999</v>
      </c>
      <c r="AF130" s="23">
        <f t="shared" ref="AF130:AF142" si="140">(X130/40.3)/((X130/40.3)+(AE130/71.844))</f>
        <v>0.37260961187427394</v>
      </c>
      <c r="AG130" s="44"/>
      <c r="AH130" s="16">
        <f t="shared" ref="AH130:AH142" si="141">100*R130/SUM($R130:$AB130)</f>
        <v>49.582183960310005</v>
      </c>
      <c r="AI130" s="16">
        <f t="shared" ref="AI130:AI142" si="142">100*S130/SUM($R130:$AB130)</f>
        <v>3.7012337445815269</v>
      </c>
      <c r="AJ130" s="16">
        <f t="shared" ref="AJ130:AJ142" si="143">100*T130/SUM($R130:$AB130)</f>
        <v>12.761829700809361</v>
      </c>
      <c r="AK130" s="16">
        <f t="shared" ref="AK130:AK142" si="144">100*U130/SUM($R130:$AB130)</f>
        <v>16.025543868158074</v>
      </c>
      <c r="AL130" s="16">
        <f t="shared" ref="AL130:AL142" si="145">100*V130/SUM($R130:$AB130)</f>
        <v>0</v>
      </c>
      <c r="AM130" s="16">
        <f t="shared" ref="AM130:AM142" si="146">100*W130/SUM($R130:$AB130)</f>
        <v>0.20612931583255023</v>
      </c>
      <c r="AN130" s="16">
        <f t="shared" ref="AN130:AN142" si="147">100*X130/SUM($R130:$AB130)</f>
        <v>4.7995796578657535</v>
      </c>
      <c r="AO130" s="16">
        <f t="shared" ref="AO130:AO142" si="148">100*Y130/SUM($R130:$AB130)</f>
        <v>9.1545666737397315</v>
      </c>
      <c r="AP130" s="16">
        <f t="shared" ref="AP130:AP142" si="149">100*Z130/SUM($R130:$AB130)</f>
        <v>2.6473470954964786</v>
      </c>
      <c r="AQ130" s="16">
        <f t="shared" ref="AQ130:AQ142" si="150">100*AA130/SUM($R130:$AB130)</f>
        <v>0.78814150171269215</v>
      </c>
      <c r="AR130" s="16">
        <f t="shared" ref="AR130:AR142" si="151">100*AB130/SUM($R130:$AB130)</f>
        <v>0.33344448149383127</v>
      </c>
      <c r="AS130" s="16">
        <f t="shared" ref="AS130:AS142" si="152">SUM(AH130:AR130)</f>
        <v>100</v>
      </c>
      <c r="AT130" s="16">
        <f t="shared" ref="AT130:AT142" si="153">AL130+0.899*AK130</f>
        <v>14.406963937474108</v>
      </c>
      <c r="AU130" s="44"/>
      <c r="AV130" s="1" t="s">
        <v>845</v>
      </c>
      <c r="AW130" s="33"/>
      <c r="AX130" s="66">
        <v>2</v>
      </c>
      <c r="AY130" s="66">
        <v>37</v>
      </c>
      <c r="AZ130" s="66">
        <v>478</v>
      </c>
      <c r="BA130" s="33"/>
      <c r="BB130" s="66">
        <v>90</v>
      </c>
      <c r="BD130" s="66">
        <v>42</v>
      </c>
      <c r="BE130" s="33"/>
      <c r="BF130" s="66">
        <v>80</v>
      </c>
      <c r="BH130" s="66">
        <v>320</v>
      </c>
      <c r="BI130" s="33"/>
      <c r="BJ130" s="66">
        <v>150</v>
      </c>
      <c r="BK130" s="33"/>
      <c r="BL130" s="66">
        <v>25</v>
      </c>
      <c r="BM130" s="66">
        <v>1.7</v>
      </c>
      <c r="BN130" s="66">
        <v>19</v>
      </c>
      <c r="BO130" s="33"/>
      <c r="BP130" s="66">
        <v>264</v>
      </c>
      <c r="BR130" s="66">
        <v>44.6</v>
      </c>
      <c r="BT130" s="66">
        <v>267</v>
      </c>
      <c r="BV130" s="66">
        <v>30.5</v>
      </c>
      <c r="BW130" s="33"/>
      <c r="BY130" s="66">
        <v>20</v>
      </c>
      <c r="BZ130" s="66">
        <v>0.6</v>
      </c>
      <c r="CA130" s="66">
        <v>131</v>
      </c>
      <c r="CB130" s="66">
        <v>28.7</v>
      </c>
      <c r="CC130" s="66">
        <v>66.599999999999994</v>
      </c>
      <c r="CD130" s="66">
        <v>9.14</v>
      </c>
      <c r="CE130" s="66">
        <v>41</v>
      </c>
      <c r="CF130" s="66">
        <v>10</v>
      </c>
      <c r="CG130" s="66">
        <v>2.85</v>
      </c>
      <c r="CH130" s="66">
        <v>10.1</v>
      </c>
      <c r="CI130" s="66">
        <v>1.58</v>
      </c>
      <c r="CJ130" s="66">
        <v>9.56</v>
      </c>
      <c r="CK130" s="66">
        <v>1.87</v>
      </c>
      <c r="CL130" s="66">
        <v>5.01</v>
      </c>
      <c r="CM130" s="66">
        <v>0.69499999999999995</v>
      </c>
      <c r="CN130" s="66">
        <v>4.21</v>
      </c>
      <c r="CO130" s="66">
        <v>0.63400000000000001</v>
      </c>
      <c r="CP130" s="66">
        <v>7.1</v>
      </c>
      <c r="CQ130" s="66">
        <v>1.93</v>
      </c>
      <c r="CR130" s="66">
        <v>5</v>
      </c>
      <c r="CS130" s="66">
        <v>3.6</v>
      </c>
      <c r="CT130" s="66">
        <v>1.22</v>
      </c>
    </row>
    <row r="131" spans="1:98">
      <c r="A131" s="1" t="s">
        <v>271</v>
      </c>
      <c r="B131" s="59" t="s">
        <v>849</v>
      </c>
      <c r="C131" s="59" t="s">
        <v>834</v>
      </c>
      <c r="D131" s="63">
        <v>65.363079999999997</v>
      </c>
      <c r="E131" s="63">
        <v>3.053655</v>
      </c>
      <c r="I131" s="59">
        <f>54+1.13</f>
        <v>55.13</v>
      </c>
      <c r="J131" s="59" t="s">
        <v>841</v>
      </c>
      <c r="K131" s="59" t="s">
        <v>842</v>
      </c>
      <c r="L131" s="1" t="s">
        <v>864</v>
      </c>
      <c r="M131" s="78" t="s">
        <v>862</v>
      </c>
      <c r="N131" s="78"/>
      <c r="O131" s="7"/>
      <c r="P131" s="1" t="s">
        <v>844</v>
      </c>
      <c r="Q131" s="1" t="s">
        <v>843</v>
      </c>
      <c r="R131" s="66">
        <v>51.72</v>
      </c>
      <c r="S131" s="66">
        <v>0.95599999999999996</v>
      </c>
      <c r="T131" s="66">
        <v>14.41</v>
      </c>
      <c r="U131" s="66">
        <v>10.220000000000001</v>
      </c>
      <c r="V131" s="59"/>
      <c r="W131" s="66">
        <v>0.13800000000000001</v>
      </c>
      <c r="X131" s="66">
        <v>6.37</v>
      </c>
      <c r="Y131" s="66">
        <v>9.6199999999999992</v>
      </c>
      <c r="Z131" s="66">
        <v>2.5499999999999998</v>
      </c>
      <c r="AA131" s="66">
        <v>0.72</v>
      </c>
      <c r="AB131" s="66">
        <v>7.0000000000000007E-2</v>
      </c>
      <c r="AC131" s="6">
        <v>3.55</v>
      </c>
      <c r="AD131" s="23">
        <f t="shared" si="138"/>
        <v>100.324</v>
      </c>
      <c r="AE131" s="21">
        <f t="shared" si="139"/>
        <v>9.1877800000000001</v>
      </c>
      <c r="AF131" s="23">
        <f t="shared" si="140"/>
        <v>0.55277043607826559</v>
      </c>
      <c r="AG131" s="44"/>
      <c r="AH131" s="16">
        <f t="shared" si="141"/>
        <v>53.444106888213774</v>
      </c>
      <c r="AI131" s="16">
        <f t="shared" si="142"/>
        <v>0.98786864240395145</v>
      </c>
      <c r="AJ131" s="16">
        <f t="shared" si="143"/>
        <v>14.890363114059561</v>
      </c>
      <c r="AK131" s="16">
        <f t="shared" si="144"/>
        <v>10.560687788042245</v>
      </c>
      <c r="AL131" s="16">
        <f t="shared" si="145"/>
        <v>0</v>
      </c>
      <c r="AM131" s="16">
        <f t="shared" si="146"/>
        <v>0.14260028520057041</v>
      </c>
      <c r="AN131" s="16">
        <f t="shared" si="147"/>
        <v>6.5823464980263298</v>
      </c>
      <c r="AO131" s="16">
        <f t="shared" si="148"/>
        <v>9.9406865480397606</v>
      </c>
      <c r="AP131" s="16">
        <f t="shared" si="149"/>
        <v>2.6350052700105397</v>
      </c>
      <c r="AQ131" s="16">
        <f t="shared" si="150"/>
        <v>0.74400148800297605</v>
      </c>
      <c r="AR131" s="16">
        <f t="shared" si="151"/>
        <v>7.2333478000289345E-2</v>
      </c>
      <c r="AS131" s="16">
        <f t="shared" si="152"/>
        <v>100</v>
      </c>
      <c r="AT131" s="16">
        <f t="shared" si="153"/>
        <v>9.4940583214499785</v>
      </c>
      <c r="AU131" s="44"/>
      <c r="AV131" s="1" t="s">
        <v>845</v>
      </c>
      <c r="AW131" s="33"/>
      <c r="AX131" s="66" t="s">
        <v>846</v>
      </c>
      <c r="AY131" s="66">
        <v>46</v>
      </c>
      <c r="AZ131" s="66">
        <v>318</v>
      </c>
      <c r="BA131" s="33"/>
      <c r="BB131" s="66">
        <v>280</v>
      </c>
      <c r="BD131" s="66">
        <v>46</v>
      </c>
      <c r="BE131" s="33"/>
      <c r="BF131" s="66">
        <v>130</v>
      </c>
      <c r="BH131" s="66">
        <v>200</v>
      </c>
      <c r="BI131" s="33"/>
      <c r="BJ131" s="66">
        <v>90</v>
      </c>
      <c r="BK131" s="33"/>
      <c r="BL131" s="66">
        <v>18</v>
      </c>
      <c r="BM131" s="66">
        <v>1.6</v>
      </c>
      <c r="BN131" s="66">
        <v>22</v>
      </c>
      <c r="BO131" s="33"/>
      <c r="BP131" s="66">
        <v>79</v>
      </c>
      <c r="BR131" s="66">
        <v>25.2</v>
      </c>
      <c r="BT131" s="66">
        <v>87</v>
      </c>
      <c r="BV131" s="66">
        <v>7.2</v>
      </c>
      <c r="BW131" s="33"/>
      <c r="BY131" s="66">
        <v>9</v>
      </c>
      <c r="BZ131" s="66">
        <v>1</v>
      </c>
      <c r="CA131" s="66">
        <v>71</v>
      </c>
      <c r="CB131" s="66">
        <v>12.1</v>
      </c>
      <c r="CC131" s="66">
        <v>26.5</v>
      </c>
      <c r="CD131" s="66">
        <v>3.15</v>
      </c>
      <c r="CE131" s="66">
        <v>12.9</v>
      </c>
      <c r="CF131" s="66">
        <v>3.42</v>
      </c>
      <c r="CG131" s="66">
        <v>0.98899999999999999</v>
      </c>
      <c r="CH131" s="66">
        <v>3.93</v>
      </c>
      <c r="CI131" s="66">
        <v>0.7</v>
      </c>
      <c r="CJ131" s="66">
        <v>4.5999999999999996</v>
      </c>
      <c r="CK131" s="66">
        <v>0.98</v>
      </c>
      <c r="CL131" s="66">
        <v>2.89</v>
      </c>
      <c r="CM131" s="66">
        <v>0.437</v>
      </c>
      <c r="CN131" s="66">
        <v>2.83</v>
      </c>
      <c r="CO131" s="66">
        <v>0.439</v>
      </c>
      <c r="CP131" s="66">
        <v>2.2999999999999998</v>
      </c>
      <c r="CQ131" s="66">
        <v>0.36</v>
      </c>
      <c r="CR131" s="66" t="s">
        <v>847</v>
      </c>
      <c r="CS131" s="66">
        <v>2.48</v>
      </c>
      <c r="CT131" s="66">
        <v>0.73</v>
      </c>
    </row>
    <row r="132" spans="1:98">
      <c r="A132" s="1" t="s">
        <v>271</v>
      </c>
      <c r="B132" s="59" t="s">
        <v>849</v>
      </c>
      <c r="C132" s="59" t="s">
        <v>833</v>
      </c>
      <c r="D132" s="63">
        <v>65.363079999999997</v>
      </c>
      <c r="E132" s="63">
        <v>3.053655</v>
      </c>
      <c r="I132" s="59">
        <f>71.6+0.38</f>
        <v>71.97999999999999</v>
      </c>
      <c r="J132" s="59" t="s">
        <v>841</v>
      </c>
      <c r="K132" s="59" t="s">
        <v>842</v>
      </c>
      <c r="L132" s="1" t="s">
        <v>864</v>
      </c>
      <c r="M132" s="78" t="s">
        <v>862</v>
      </c>
      <c r="N132" s="78"/>
      <c r="O132" s="7"/>
      <c r="P132" s="1" t="s">
        <v>844</v>
      </c>
      <c r="Q132" s="1" t="s">
        <v>843</v>
      </c>
      <c r="R132" s="66">
        <v>63.87</v>
      </c>
      <c r="S132" s="66">
        <v>0.85399999999999998</v>
      </c>
      <c r="T132" s="66">
        <v>5.87</v>
      </c>
      <c r="U132" s="66">
        <v>5.64</v>
      </c>
      <c r="V132" s="59"/>
      <c r="W132" s="66">
        <v>9.5000000000000001E-2</v>
      </c>
      <c r="X132" s="66">
        <v>1.7</v>
      </c>
      <c r="Y132" s="66">
        <v>2.64</v>
      </c>
      <c r="Z132" s="66">
        <v>2.46</v>
      </c>
      <c r="AA132" s="66">
        <v>0.49</v>
      </c>
      <c r="AB132" s="66">
        <v>0.17</v>
      </c>
      <c r="AC132" s="6">
        <v>14.3</v>
      </c>
      <c r="AD132" s="23">
        <f t="shared" si="138"/>
        <v>98.088999999999999</v>
      </c>
      <c r="AE132" s="21">
        <f t="shared" si="139"/>
        <v>5.07036</v>
      </c>
      <c r="AF132" s="23">
        <f t="shared" si="140"/>
        <v>0.37410691571988225</v>
      </c>
      <c r="AG132" s="44"/>
      <c r="AH132" s="16">
        <f t="shared" si="141"/>
        <v>76.227189726575091</v>
      </c>
      <c r="AI132" s="16">
        <f t="shared" si="142"/>
        <v>1.0192268674885723</v>
      </c>
      <c r="AJ132" s="16">
        <f t="shared" si="143"/>
        <v>7.0056928713792983</v>
      </c>
      <c r="AK132" s="16">
        <f t="shared" si="144"/>
        <v>6.7311938321259355</v>
      </c>
      <c r="AL132" s="16">
        <f t="shared" si="145"/>
        <v>0</v>
      </c>
      <c r="AM132" s="16">
        <f t="shared" si="146"/>
        <v>0.11338003795247587</v>
      </c>
      <c r="AN132" s="16">
        <f t="shared" si="147"/>
        <v>2.0289059423074627</v>
      </c>
      <c r="AO132" s="16">
        <f t="shared" si="148"/>
        <v>3.1507715809951184</v>
      </c>
      <c r="AP132" s="16">
        <f t="shared" si="149"/>
        <v>2.9359462459272696</v>
      </c>
      <c r="AQ132" s="16">
        <f t="shared" si="150"/>
        <v>0.58480230101803343</v>
      </c>
      <c r="AR132" s="16">
        <f t="shared" si="151"/>
        <v>0.20289059423074626</v>
      </c>
      <c r="AS132" s="16">
        <f t="shared" si="152"/>
        <v>100</v>
      </c>
      <c r="AT132" s="16">
        <f t="shared" si="153"/>
        <v>6.0513432550812158</v>
      </c>
      <c r="AU132" s="44"/>
      <c r="AV132" s="1" t="s">
        <v>845</v>
      </c>
      <c r="AW132" s="33"/>
      <c r="AX132" s="66" t="s">
        <v>846</v>
      </c>
      <c r="AY132" s="66">
        <v>16</v>
      </c>
      <c r="AZ132" s="66">
        <v>181</v>
      </c>
      <c r="BA132" s="33"/>
      <c r="BB132" s="66">
        <v>80</v>
      </c>
      <c r="BD132" s="66">
        <v>19</v>
      </c>
      <c r="BE132" s="33"/>
      <c r="BF132" s="66">
        <v>40</v>
      </c>
      <c r="BH132" s="66">
        <v>80</v>
      </c>
      <c r="BI132" s="33"/>
      <c r="BJ132" s="66">
        <v>130</v>
      </c>
      <c r="BK132" s="33"/>
      <c r="BL132" s="66">
        <v>10</v>
      </c>
      <c r="BM132" s="66">
        <v>0.7</v>
      </c>
      <c r="BN132" s="66">
        <v>16</v>
      </c>
      <c r="BO132" s="33"/>
      <c r="BP132" s="66">
        <v>150</v>
      </c>
      <c r="BR132" s="66">
        <v>17.7</v>
      </c>
      <c r="BT132" s="66">
        <v>63</v>
      </c>
      <c r="BV132" s="66">
        <v>6.8</v>
      </c>
      <c r="BW132" s="33"/>
      <c r="BY132" s="66">
        <v>4</v>
      </c>
      <c r="BZ132" s="66">
        <v>0.9</v>
      </c>
      <c r="CA132" s="66">
        <v>1422</v>
      </c>
      <c r="CB132" s="66">
        <v>14.1</v>
      </c>
      <c r="CC132" s="66">
        <v>31.2</v>
      </c>
      <c r="CD132" s="66">
        <v>3.75</v>
      </c>
      <c r="CE132" s="66">
        <v>15.8</v>
      </c>
      <c r="CF132" s="66">
        <v>3.57</v>
      </c>
      <c r="CG132" s="66">
        <v>0.94699999999999995</v>
      </c>
      <c r="CH132" s="66">
        <v>3.48</v>
      </c>
      <c r="CI132" s="66">
        <v>0.54</v>
      </c>
      <c r="CJ132" s="66">
        <v>3.32</v>
      </c>
      <c r="CK132" s="66">
        <v>0.65</v>
      </c>
      <c r="CL132" s="66">
        <v>1.79</v>
      </c>
      <c r="CM132" s="66">
        <v>0.249</v>
      </c>
      <c r="CN132" s="66">
        <v>1.64</v>
      </c>
      <c r="CO132" s="66">
        <v>0.253</v>
      </c>
      <c r="CP132" s="66">
        <v>1.5</v>
      </c>
      <c r="CQ132" s="66">
        <v>0.38</v>
      </c>
      <c r="CR132" s="66">
        <v>6</v>
      </c>
      <c r="CS132" s="66">
        <v>2.0699999999999998</v>
      </c>
      <c r="CT132" s="66">
        <v>5.67</v>
      </c>
    </row>
    <row r="133" spans="1:98">
      <c r="A133" s="1" t="s">
        <v>271</v>
      </c>
      <c r="B133" s="59" t="s">
        <v>849</v>
      </c>
      <c r="C133" s="59" t="s">
        <v>829</v>
      </c>
      <c r="D133" s="63">
        <v>65.363079999999997</v>
      </c>
      <c r="E133" s="63">
        <v>3.053655</v>
      </c>
      <c r="I133" s="59">
        <f>84.2+0.45</f>
        <v>84.65</v>
      </c>
      <c r="J133" s="59" t="s">
        <v>841</v>
      </c>
      <c r="K133" s="59" t="s">
        <v>842</v>
      </c>
      <c r="L133" s="1" t="s">
        <v>864</v>
      </c>
      <c r="M133" s="78" t="s">
        <v>862</v>
      </c>
      <c r="N133" s="78"/>
      <c r="O133" s="7"/>
      <c r="P133" s="1" t="s">
        <v>844</v>
      </c>
      <c r="Q133" s="1" t="s">
        <v>843</v>
      </c>
      <c r="R133" s="66">
        <v>49.36</v>
      </c>
      <c r="S133" s="66">
        <v>2.3180000000000001</v>
      </c>
      <c r="T133" s="66">
        <v>13.33</v>
      </c>
      <c r="U133" s="66">
        <v>11.76</v>
      </c>
      <c r="V133" s="59"/>
      <c r="W133" s="66">
        <v>0.16900000000000001</v>
      </c>
      <c r="X133" s="66">
        <v>4.8099999999999996</v>
      </c>
      <c r="Y133" s="66">
        <v>7.52</v>
      </c>
      <c r="Z133" s="66">
        <v>2.2000000000000002</v>
      </c>
      <c r="AA133" s="66">
        <v>0.78</v>
      </c>
      <c r="AB133" s="66">
        <v>0.24</v>
      </c>
      <c r="AC133" s="6">
        <v>7.19</v>
      </c>
      <c r="AD133" s="23">
        <f t="shared" si="138"/>
        <v>99.676999999999992</v>
      </c>
      <c r="AE133" s="21">
        <f t="shared" si="139"/>
        <v>10.572240000000001</v>
      </c>
      <c r="AF133" s="23">
        <f t="shared" si="140"/>
        <v>0.44784317816443309</v>
      </c>
      <c r="AG133" s="44"/>
      <c r="AH133" s="16">
        <f t="shared" si="141"/>
        <v>53.369662763415405</v>
      </c>
      <c r="AI133" s="16">
        <f t="shared" si="142"/>
        <v>2.5062981824472632</v>
      </c>
      <c r="AJ133" s="16">
        <f t="shared" si="143"/>
        <v>14.412836398628997</v>
      </c>
      <c r="AK133" s="16">
        <f t="shared" si="144"/>
        <v>12.715300528722956</v>
      </c>
      <c r="AL133" s="16">
        <f t="shared" si="145"/>
        <v>0</v>
      </c>
      <c r="AM133" s="16">
        <f t="shared" si="146"/>
        <v>0.18272838344848469</v>
      </c>
      <c r="AN133" s="16">
        <f t="shared" si="147"/>
        <v>5.2007309135337936</v>
      </c>
      <c r="AO133" s="16">
        <f t="shared" si="148"/>
        <v>8.1308724469384899</v>
      </c>
      <c r="AP133" s="16">
        <f t="shared" si="149"/>
        <v>2.3787126839447712</v>
      </c>
      <c r="AQ133" s="16">
        <f t="shared" si="150"/>
        <v>0.84336176976223687</v>
      </c>
      <c r="AR133" s="16">
        <f t="shared" si="151"/>
        <v>0.25949592915761133</v>
      </c>
      <c r="AS133" s="16">
        <f t="shared" si="152"/>
        <v>100</v>
      </c>
      <c r="AT133" s="16">
        <f t="shared" si="153"/>
        <v>11.431055175321937</v>
      </c>
      <c r="AU133" s="44"/>
      <c r="AV133" s="1" t="s">
        <v>845</v>
      </c>
      <c r="AW133" s="33"/>
      <c r="AX133" s="66">
        <v>2</v>
      </c>
      <c r="AY133" s="66">
        <v>29</v>
      </c>
      <c r="AZ133" s="66">
        <v>290</v>
      </c>
      <c r="BA133" s="33"/>
      <c r="BB133" s="66">
        <v>480</v>
      </c>
      <c r="BD133" s="66">
        <v>44</v>
      </c>
      <c r="BE133" s="33"/>
      <c r="BF133" s="66">
        <v>170</v>
      </c>
      <c r="BH133" s="66">
        <v>140</v>
      </c>
      <c r="BI133" s="33"/>
      <c r="BJ133" s="66">
        <v>100</v>
      </c>
      <c r="BK133" s="33"/>
      <c r="BL133" s="66">
        <v>21</v>
      </c>
      <c r="BM133" s="66">
        <v>1.4</v>
      </c>
      <c r="BN133" s="66">
        <v>20</v>
      </c>
      <c r="BO133" s="33"/>
      <c r="BP133" s="66">
        <v>272</v>
      </c>
      <c r="BR133" s="66">
        <v>28</v>
      </c>
      <c r="BT133" s="66">
        <v>183</v>
      </c>
      <c r="BV133" s="66">
        <v>22.7</v>
      </c>
      <c r="BW133" s="33"/>
      <c r="BY133" s="66">
        <v>8</v>
      </c>
      <c r="BZ133" s="66">
        <v>0.6</v>
      </c>
      <c r="CA133" s="66">
        <v>193</v>
      </c>
      <c r="CB133" s="66">
        <v>23.2</v>
      </c>
      <c r="CC133" s="66">
        <v>53</v>
      </c>
      <c r="CD133" s="66">
        <v>6.93</v>
      </c>
      <c r="CE133" s="66">
        <v>30</v>
      </c>
      <c r="CF133" s="66">
        <v>7.23</v>
      </c>
      <c r="CG133" s="66">
        <v>2.2000000000000002</v>
      </c>
      <c r="CH133" s="66">
        <v>6.8</v>
      </c>
      <c r="CI133" s="66">
        <v>1.08</v>
      </c>
      <c r="CJ133" s="66">
        <v>6.16</v>
      </c>
      <c r="CK133" s="66">
        <v>1.1399999999999999</v>
      </c>
      <c r="CL133" s="66">
        <v>3.02</v>
      </c>
      <c r="CM133" s="66">
        <v>0.40400000000000003</v>
      </c>
      <c r="CN133" s="66">
        <v>2.36</v>
      </c>
      <c r="CO133" s="66">
        <v>0.34200000000000003</v>
      </c>
      <c r="CP133" s="66">
        <v>4.7</v>
      </c>
      <c r="CQ133" s="66">
        <v>1.07</v>
      </c>
      <c r="CR133" s="66" t="s">
        <v>847</v>
      </c>
      <c r="CS133" s="66">
        <v>3.57</v>
      </c>
      <c r="CT133" s="66">
        <v>2.19</v>
      </c>
    </row>
    <row r="134" spans="1:98">
      <c r="A134" s="1" t="s">
        <v>271</v>
      </c>
      <c r="B134" s="59" t="s">
        <v>850</v>
      </c>
      <c r="C134" s="59" t="s">
        <v>830</v>
      </c>
      <c r="D134" s="63">
        <v>65.359903000000003</v>
      </c>
      <c r="E134" s="63">
        <v>3.0518179999999999</v>
      </c>
      <c r="I134" s="59">
        <f>70.8+0.1</f>
        <v>70.899999999999991</v>
      </c>
      <c r="J134" s="59" t="s">
        <v>841</v>
      </c>
      <c r="K134" s="59" t="s">
        <v>842</v>
      </c>
      <c r="L134" s="1" t="s">
        <v>864</v>
      </c>
      <c r="M134" s="78" t="s">
        <v>862</v>
      </c>
      <c r="N134" s="78"/>
      <c r="O134" s="7"/>
      <c r="P134" s="1" t="s">
        <v>844</v>
      </c>
      <c r="Q134" s="1" t="s">
        <v>843</v>
      </c>
      <c r="R134" s="66">
        <v>52.24</v>
      </c>
      <c r="S134" s="66">
        <v>1.9590000000000001</v>
      </c>
      <c r="T134" s="66">
        <v>12.7</v>
      </c>
      <c r="U134" s="66">
        <v>10.78</v>
      </c>
      <c r="V134" s="59"/>
      <c r="W134" s="66">
        <v>0.14099999999999999</v>
      </c>
      <c r="X134" s="66">
        <v>5.9</v>
      </c>
      <c r="Y134" s="66">
        <v>9.0399999999999991</v>
      </c>
      <c r="Z134" s="66">
        <v>1.97</v>
      </c>
      <c r="AA134" s="66">
        <v>0.63</v>
      </c>
      <c r="AB134" s="66">
        <v>0.2</v>
      </c>
      <c r="AC134" s="6">
        <v>3.27</v>
      </c>
      <c r="AD134" s="23">
        <f t="shared" si="138"/>
        <v>98.830000000000013</v>
      </c>
      <c r="AE134" s="21">
        <f t="shared" si="139"/>
        <v>9.6912199999999995</v>
      </c>
      <c r="AF134" s="23">
        <f t="shared" si="140"/>
        <v>0.52045798784332864</v>
      </c>
      <c r="AG134" s="44"/>
      <c r="AH134" s="16">
        <f t="shared" si="141"/>
        <v>54.667224780242769</v>
      </c>
      <c r="AI134" s="16">
        <f t="shared" si="142"/>
        <v>2.0500209292591038</v>
      </c>
      <c r="AJ134" s="16">
        <f t="shared" si="143"/>
        <v>13.290079531184594</v>
      </c>
      <c r="AK134" s="16">
        <f t="shared" si="144"/>
        <v>11.280870657178735</v>
      </c>
      <c r="AL134" s="16">
        <f t="shared" si="145"/>
        <v>0</v>
      </c>
      <c r="AM134" s="16">
        <f t="shared" si="146"/>
        <v>0.1475512766848053</v>
      </c>
      <c r="AN134" s="16">
        <f t="shared" si="147"/>
        <v>6.1741314357471735</v>
      </c>
      <c r="AO134" s="16">
        <f t="shared" si="148"/>
        <v>9.4600251151109216</v>
      </c>
      <c r="AP134" s="16">
        <f t="shared" si="149"/>
        <v>2.0615320217664292</v>
      </c>
      <c r="AQ134" s="16">
        <f t="shared" si="150"/>
        <v>0.65927166178317276</v>
      </c>
      <c r="AR134" s="16">
        <f t="shared" si="151"/>
        <v>0.20929259104227707</v>
      </c>
      <c r="AS134" s="16">
        <f t="shared" si="152"/>
        <v>99.999999999999986</v>
      </c>
      <c r="AT134" s="16">
        <f t="shared" si="153"/>
        <v>10.141502720803683</v>
      </c>
      <c r="AU134" s="44"/>
      <c r="AV134" s="1" t="s">
        <v>845</v>
      </c>
      <c r="AW134" s="33"/>
      <c r="AX134" s="66">
        <v>1</v>
      </c>
      <c r="AY134" s="66">
        <v>37</v>
      </c>
      <c r="AZ134" s="66">
        <v>324</v>
      </c>
      <c r="BA134" s="33"/>
      <c r="BB134" s="66">
        <v>210</v>
      </c>
      <c r="BD134" s="66">
        <v>45</v>
      </c>
      <c r="BE134" s="33"/>
      <c r="BF134" s="66">
        <v>90</v>
      </c>
      <c r="BH134" s="66">
        <v>150</v>
      </c>
      <c r="BI134" s="33"/>
      <c r="BJ134" s="66">
        <v>120</v>
      </c>
      <c r="BK134" s="33"/>
      <c r="BL134" s="66">
        <v>19</v>
      </c>
      <c r="BM134" s="66">
        <v>1.5</v>
      </c>
      <c r="BN134" s="66">
        <v>17</v>
      </c>
      <c r="BO134" s="33"/>
      <c r="BP134" s="66">
        <v>228</v>
      </c>
      <c r="BR134" s="66">
        <v>31.2</v>
      </c>
      <c r="BT134" s="66">
        <v>166</v>
      </c>
      <c r="BV134" s="66">
        <v>20.399999999999999</v>
      </c>
      <c r="BW134" s="33"/>
      <c r="BY134" s="66">
        <v>12</v>
      </c>
      <c r="BZ134" s="66">
        <v>0.6</v>
      </c>
      <c r="CA134" s="66">
        <v>210</v>
      </c>
      <c r="CB134" s="66">
        <v>25</v>
      </c>
      <c r="CC134" s="66">
        <v>50.7</v>
      </c>
      <c r="CD134" s="66">
        <v>6.72</v>
      </c>
      <c r="CE134" s="66">
        <v>27.8</v>
      </c>
      <c r="CF134" s="66">
        <v>6.62</v>
      </c>
      <c r="CG134" s="66">
        <v>1.93</v>
      </c>
      <c r="CH134" s="66">
        <v>6.75</v>
      </c>
      <c r="CI134" s="66">
        <v>1.0900000000000001</v>
      </c>
      <c r="CJ134" s="66">
        <v>6.53</v>
      </c>
      <c r="CK134" s="66">
        <v>1.27</v>
      </c>
      <c r="CL134" s="66">
        <v>3.47</v>
      </c>
      <c r="CM134" s="66">
        <v>0.47299999999999998</v>
      </c>
      <c r="CN134" s="66">
        <v>3.02</v>
      </c>
      <c r="CO134" s="66">
        <v>0.48299999999999998</v>
      </c>
      <c r="CP134" s="66">
        <v>4.4000000000000004</v>
      </c>
      <c r="CQ134" s="66">
        <v>1.18</v>
      </c>
      <c r="CR134" s="66">
        <v>7</v>
      </c>
      <c r="CS134" s="66">
        <v>3.27</v>
      </c>
      <c r="CT134" s="66">
        <v>1.66</v>
      </c>
    </row>
    <row r="135" spans="1:98">
      <c r="A135" s="1" t="s">
        <v>271</v>
      </c>
      <c r="B135" s="59" t="s">
        <v>850</v>
      </c>
      <c r="C135" s="59" t="s">
        <v>832</v>
      </c>
      <c r="D135" s="63">
        <v>65.359903000000003</v>
      </c>
      <c r="E135" s="63">
        <v>3.0518179999999999</v>
      </c>
      <c r="I135" s="59">
        <f>91.69+0.99</f>
        <v>92.679999999999993</v>
      </c>
      <c r="J135" s="59" t="s">
        <v>841</v>
      </c>
      <c r="K135" s="59" t="s">
        <v>842</v>
      </c>
      <c r="L135" s="1" t="s">
        <v>864</v>
      </c>
      <c r="M135" s="78" t="s">
        <v>862</v>
      </c>
      <c r="N135" s="78"/>
      <c r="O135" s="7"/>
      <c r="P135" s="1" t="s">
        <v>844</v>
      </c>
      <c r="Q135" s="1" t="s">
        <v>843</v>
      </c>
      <c r="R135" s="66">
        <v>55.37</v>
      </c>
      <c r="S135" s="66">
        <v>1.3149999999999999</v>
      </c>
      <c r="T135" s="66">
        <v>12.93</v>
      </c>
      <c r="U135" s="66">
        <v>8.84</v>
      </c>
      <c r="V135" s="59"/>
      <c r="W135" s="66">
        <v>9.9000000000000005E-2</v>
      </c>
      <c r="X135" s="66">
        <v>4.72</v>
      </c>
      <c r="Y135" s="66">
        <v>4.45</v>
      </c>
      <c r="Z135" s="66">
        <v>2.0699999999999998</v>
      </c>
      <c r="AA135" s="66">
        <v>1.68</v>
      </c>
      <c r="AB135" s="66">
        <v>0.15</v>
      </c>
      <c r="AC135" s="6">
        <v>9.09</v>
      </c>
      <c r="AD135" s="23">
        <f t="shared" si="138"/>
        <v>100.71400000000001</v>
      </c>
      <c r="AE135" s="21">
        <f t="shared" si="139"/>
        <v>7.9471600000000002</v>
      </c>
      <c r="AF135" s="23">
        <f t="shared" si="140"/>
        <v>0.51428106468243706</v>
      </c>
      <c r="AG135" s="44"/>
      <c r="AH135" s="16">
        <f t="shared" si="141"/>
        <v>60.431764603160737</v>
      </c>
      <c r="AI135" s="16">
        <f t="shared" si="142"/>
        <v>1.4352134811839692</v>
      </c>
      <c r="AJ135" s="16">
        <f t="shared" si="143"/>
        <v>14.112023050729066</v>
      </c>
      <c r="AK135" s="16">
        <f t="shared" si="144"/>
        <v>9.6481271282633365</v>
      </c>
      <c r="AL135" s="16">
        <f t="shared" si="145"/>
        <v>0</v>
      </c>
      <c r="AM135" s="16">
        <f t="shared" si="146"/>
        <v>0.10805029249978171</v>
      </c>
      <c r="AN135" s="16">
        <f t="shared" si="147"/>
        <v>5.1514886929188854</v>
      </c>
      <c r="AO135" s="16">
        <f t="shared" si="148"/>
        <v>4.8568060770103898</v>
      </c>
      <c r="AP135" s="16">
        <f t="shared" si="149"/>
        <v>2.2592333886317988</v>
      </c>
      <c r="AQ135" s="16">
        <f t="shared" si="150"/>
        <v>1.8335807212084168</v>
      </c>
      <c r="AR135" s="16">
        <f t="shared" si="151"/>
        <v>0.16371256439360865</v>
      </c>
      <c r="AS135" s="16">
        <f t="shared" si="152"/>
        <v>100</v>
      </c>
      <c r="AT135" s="16">
        <f t="shared" si="153"/>
        <v>8.6736662883087394</v>
      </c>
      <c r="AU135" s="44"/>
      <c r="AV135" s="1" t="s">
        <v>845</v>
      </c>
      <c r="AW135" s="33"/>
      <c r="AX135" s="66">
        <v>2</v>
      </c>
      <c r="AY135" s="66">
        <v>30</v>
      </c>
      <c r="AZ135" s="66">
        <v>280</v>
      </c>
      <c r="BA135" s="33"/>
      <c r="BB135" s="66">
        <v>160</v>
      </c>
      <c r="BD135" s="66">
        <v>38</v>
      </c>
      <c r="BE135" s="33"/>
      <c r="BF135" s="66">
        <v>60</v>
      </c>
      <c r="BH135" s="66">
        <v>100</v>
      </c>
      <c r="BI135" s="33"/>
      <c r="BJ135" s="66">
        <v>90</v>
      </c>
      <c r="BK135" s="33"/>
      <c r="BL135" s="66">
        <v>19</v>
      </c>
      <c r="BM135" s="66">
        <v>1.3</v>
      </c>
      <c r="BN135" s="66">
        <v>60</v>
      </c>
      <c r="BO135" s="33"/>
      <c r="BP135" s="66">
        <v>138</v>
      </c>
      <c r="BR135" s="66">
        <v>30.3</v>
      </c>
      <c r="BT135" s="66">
        <v>175</v>
      </c>
      <c r="BV135" s="66">
        <v>20.6</v>
      </c>
      <c r="BW135" s="33"/>
      <c r="BY135" s="66">
        <v>5</v>
      </c>
      <c r="BZ135" s="66">
        <v>2.6</v>
      </c>
      <c r="CA135" s="66">
        <v>188</v>
      </c>
      <c r="CB135" s="66">
        <v>34</v>
      </c>
      <c r="CC135" s="66">
        <v>69.8</v>
      </c>
      <c r="CD135" s="66">
        <v>8.15</v>
      </c>
      <c r="CE135" s="66">
        <v>32.299999999999997</v>
      </c>
      <c r="CF135" s="66">
        <v>6.78</v>
      </c>
      <c r="CG135" s="66">
        <v>1.64</v>
      </c>
      <c r="CH135" s="66">
        <v>6.16</v>
      </c>
      <c r="CI135" s="66">
        <v>0.96</v>
      </c>
      <c r="CJ135" s="66">
        <v>5.83</v>
      </c>
      <c r="CK135" s="66">
        <v>1.17</v>
      </c>
      <c r="CL135" s="66">
        <v>3.19</v>
      </c>
      <c r="CM135" s="66">
        <v>0.45400000000000001</v>
      </c>
      <c r="CN135" s="66">
        <v>2.98</v>
      </c>
      <c r="CO135" s="66">
        <v>0.45200000000000001</v>
      </c>
      <c r="CP135" s="66">
        <v>4.4000000000000004</v>
      </c>
      <c r="CQ135" s="66">
        <v>1.17</v>
      </c>
      <c r="CR135" s="66">
        <v>9</v>
      </c>
      <c r="CS135" s="66">
        <v>6.1</v>
      </c>
      <c r="CT135" s="66">
        <v>2.0499999999999998</v>
      </c>
    </row>
    <row r="136" spans="1:98">
      <c r="A136" s="1" t="s">
        <v>271</v>
      </c>
      <c r="B136" s="59" t="s">
        <v>851</v>
      </c>
      <c r="C136" s="59" t="s">
        <v>835</v>
      </c>
      <c r="D136" s="63">
        <v>65.361050000000006</v>
      </c>
      <c r="E136" s="63">
        <v>3.0525669999999998</v>
      </c>
      <c r="I136" s="59">
        <f>78.6+0.19</f>
        <v>78.789999999999992</v>
      </c>
      <c r="J136" s="59" t="s">
        <v>841</v>
      </c>
      <c r="K136" s="59" t="s">
        <v>842</v>
      </c>
      <c r="L136" s="1" t="s">
        <v>864</v>
      </c>
      <c r="M136" s="78" t="s">
        <v>862</v>
      </c>
      <c r="N136" s="78"/>
      <c r="O136" s="7"/>
      <c r="P136" s="1" t="s">
        <v>844</v>
      </c>
      <c r="Q136" s="1" t="s">
        <v>843</v>
      </c>
      <c r="R136" s="66">
        <v>50.32</v>
      </c>
      <c r="S136" s="66">
        <v>0.98299999999999998</v>
      </c>
      <c r="T136" s="66">
        <v>14.05</v>
      </c>
      <c r="U136" s="66">
        <v>12.1</v>
      </c>
      <c r="V136" s="59"/>
      <c r="W136" s="66">
        <v>0.18099999999999999</v>
      </c>
      <c r="X136" s="66">
        <v>6.65</v>
      </c>
      <c r="Y136" s="66">
        <v>11.38</v>
      </c>
      <c r="Z136" s="66">
        <v>2.0499999999999998</v>
      </c>
      <c r="AA136" s="66">
        <v>0.37</v>
      </c>
      <c r="AB136" s="66">
        <v>0.08</v>
      </c>
      <c r="AC136" s="6">
        <v>1.55</v>
      </c>
      <c r="AD136" s="23">
        <f t="shared" si="138"/>
        <v>99.713999999999984</v>
      </c>
      <c r="AE136" s="21">
        <f t="shared" si="139"/>
        <v>10.8779</v>
      </c>
      <c r="AF136" s="23">
        <f t="shared" si="140"/>
        <v>0.52149406494279482</v>
      </c>
      <c r="AG136" s="44"/>
      <c r="AH136" s="16">
        <f t="shared" si="141"/>
        <v>51.261154802167809</v>
      </c>
      <c r="AI136" s="16">
        <f t="shared" si="142"/>
        <v>1.0013854366162749</v>
      </c>
      <c r="AJ136" s="16">
        <f t="shared" si="143"/>
        <v>14.312782690191925</v>
      </c>
      <c r="AK136" s="16">
        <f t="shared" si="144"/>
        <v>12.32631107126849</v>
      </c>
      <c r="AL136" s="16">
        <f t="shared" si="145"/>
        <v>0</v>
      </c>
      <c r="AM136" s="16">
        <f t="shared" si="146"/>
        <v>0.18438531437186748</v>
      </c>
      <c r="AN136" s="16">
        <f t="shared" si="147"/>
        <v>6.7743775722260713</v>
      </c>
      <c r="AO136" s="16">
        <f t="shared" si="148"/>
        <v>11.5928446273583</v>
      </c>
      <c r="AP136" s="16">
        <f t="shared" si="149"/>
        <v>2.088341958355405</v>
      </c>
      <c r="AQ136" s="16">
        <f t="shared" si="150"/>
        <v>0.3769202558982927</v>
      </c>
      <c r="AR136" s="16">
        <f t="shared" si="151"/>
        <v>8.1496271545576801E-2</v>
      </c>
      <c r="AS136" s="16">
        <f t="shared" si="152"/>
        <v>100.00000000000001</v>
      </c>
      <c r="AT136" s="16">
        <f t="shared" si="153"/>
        <v>11.081353653070373</v>
      </c>
      <c r="AU136" s="44"/>
      <c r="AV136" s="1" t="s">
        <v>845</v>
      </c>
      <c r="AW136" s="33"/>
      <c r="AX136" s="66" t="s">
        <v>846</v>
      </c>
      <c r="AY136" s="66">
        <v>50</v>
      </c>
      <c r="AZ136" s="66">
        <v>331</v>
      </c>
      <c r="BA136" s="33"/>
      <c r="BB136" s="66">
        <v>300</v>
      </c>
      <c r="BD136" s="66">
        <v>49</v>
      </c>
      <c r="BE136" s="33"/>
      <c r="BF136" s="66">
        <v>100</v>
      </c>
      <c r="BH136" s="66">
        <v>160</v>
      </c>
      <c r="BI136" s="33"/>
      <c r="BJ136" s="66">
        <v>130</v>
      </c>
      <c r="BK136" s="33"/>
      <c r="BL136" s="66">
        <v>18</v>
      </c>
      <c r="BM136" s="66">
        <v>1.6</v>
      </c>
      <c r="BN136" s="66">
        <v>12</v>
      </c>
      <c r="BO136" s="33"/>
      <c r="BP136" s="66">
        <v>76</v>
      </c>
      <c r="BR136" s="66">
        <v>27.2</v>
      </c>
      <c r="BT136" s="66">
        <v>78</v>
      </c>
      <c r="BV136" s="66">
        <v>5.3</v>
      </c>
      <c r="BW136" s="33"/>
      <c r="BY136" s="66">
        <v>15</v>
      </c>
      <c r="BZ136" s="66">
        <v>0.6</v>
      </c>
      <c r="CA136" s="66">
        <v>52</v>
      </c>
      <c r="CB136" s="66">
        <v>8.67</v>
      </c>
      <c r="CC136" s="66">
        <v>18.899999999999999</v>
      </c>
      <c r="CD136" s="66">
        <v>2.37</v>
      </c>
      <c r="CE136" s="66">
        <v>10.9</v>
      </c>
      <c r="CF136" s="66">
        <v>2.95</v>
      </c>
      <c r="CG136" s="66">
        <v>0.95799999999999996</v>
      </c>
      <c r="CH136" s="66">
        <v>3.81</v>
      </c>
      <c r="CI136" s="66">
        <v>0.72</v>
      </c>
      <c r="CJ136" s="66">
        <v>4.95</v>
      </c>
      <c r="CK136" s="66">
        <v>1.04</v>
      </c>
      <c r="CL136" s="66">
        <v>3.13</v>
      </c>
      <c r="CM136" s="66">
        <v>0.46</v>
      </c>
      <c r="CN136" s="66">
        <v>3.15</v>
      </c>
      <c r="CO136" s="66">
        <v>0.498</v>
      </c>
      <c r="CP136" s="66">
        <v>2.2999999999999998</v>
      </c>
      <c r="CQ136" s="66">
        <v>0.31</v>
      </c>
      <c r="CR136" s="66" t="s">
        <v>847</v>
      </c>
      <c r="CS136" s="66">
        <v>2.35</v>
      </c>
      <c r="CT136" s="66">
        <v>0.4</v>
      </c>
    </row>
    <row r="137" spans="1:98">
      <c r="A137" s="1" t="s">
        <v>271</v>
      </c>
      <c r="B137" s="59" t="s">
        <v>851</v>
      </c>
      <c r="C137" s="59" t="s">
        <v>831</v>
      </c>
      <c r="D137" s="63">
        <v>65.361050000000006</v>
      </c>
      <c r="E137" s="63">
        <v>3.0525669999999998</v>
      </c>
      <c r="I137" s="59">
        <f>96.91+0.06</f>
        <v>96.97</v>
      </c>
      <c r="J137" s="59" t="s">
        <v>841</v>
      </c>
      <c r="K137" s="59" t="s">
        <v>842</v>
      </c>
      <c r="L137" s="1" t="s">
        <v>864</v>
      </c>
      <c r="M137" s="78" t="s">
        <v>862</v>
      </c>
      <c r="N137" s="78"/>
      <c r="O137" s="7"/>
      <c r="P137" s="1" t="s">
        <v>844</v>
      </c>
      <c r="Q137" s="1" t="s">
        <v>843</v>
      </c>
      <c r="R137" s="66">
        <v>50.89</v>
      </c>
      <c r="S137" s="66">
        <v>2.2559999999999998</v>
      </c>
      <c r="T137" s="66">
        <v>13.53</v>
      </c>
      <c r="U137" s="66">
        <v>11.18</v>
      </c>
      <c r="V137" s="59"/>
      <c r="W137" s="66">
        <v>0.156</v>
      </c>
      <c r="X137" s="66">
        <v>4.46</v>
      </c>
      <c r="Y137" s="66">
        <v>7.47</v>
      </c>
      <c r="Z137" s="66">
        <v>2.5</v>
      </c>
      <c r="AA137" s="66">
        <v>0.89</v>
      </c>
      <c r="AB137" s="66">
        <v>0.17</v>
      </c>
      <c r="AC137" s="6">
        <v>6.18</v>
      </c>
      <c r="AD137" s="23">
        <f t="shared" si="138"/>
        <v>99.681999999999988</v>
      </c>
      <c r="AE137" s="21">
        <f t="shared" si="139"/>
        <v>10.05082</v>
      </c>
      <c r="AF137" s="23">
        <f t="shared" si="140"/>
        <v>0.44167674793851464</v>
      </c>
      <c r="AG137" s="44"/>
      <c r="AH137" s="16">
        <f t="shared" si="141"/>
        <v>54.426643280357645</v>
      </c>
      <c r="AI137" s="16">
        <f t="shared" si="142"/>
        <v>2.4127826142756303</v>
      </c>
      <c r="AJ137" s="16">
        <f t="shared" si="143"/>
        <v>14.470278710615817</v>
      </c>
      <c r="AK137" s="16">
        <f t="shared" si="144"/>
        <v>11.956963487412034</v>
      </c>
      <c r="AL137" s="16">
        <f t="shared" si="145"/>
        <v>0</v>
      </c>
      <c r="AM137" s="16">
        <f t="shared" si="146"/>
        <v>0.16684135098714467</v>
      </c>
      <c r="AN137" s="16">
        <f t="shared" si="147"/>
        <v>4.7699514448888793</v>
      </c>
      <c r="AO137" s="16">
        <f t="shared" si="148"/>
        <v>7.9891339222690432</v>
      </c>
      <c r="AP137" s="16">
        <f t="shared" si="149"/>
        <v>2.6737395991529596</v>
      </c>
      <c r="AQ137" s="16">
        <f t="shared" si="150"/>
        <v>0.95185129729845352</v>
      </c>
      <c r="AR137" s="16">
        <f t="shared" si="151"/>
        <v>0.18181429274240124</v>
      </c>
      <c r="AS137" s="16">
        <f t="shared" si="152"/>
        <v>100.00000000000001</v>
      </c>
      <c r="AT137" s="16">
        <f t="shared" si="153"/>
        <v>10.749310175183419</v>
      </c>
      <c r="AU137" s="44"/>
      <c r="AV137" s="1" t="s">
        <v>845</v>
      </c>
      <c r="AW137" s="33"/>
      <c r="AX137" s="66">
        <v>1</v>
      </c>
      <c r="AY137" s="66">
        <v>31</v>
      </c>
      <c r="AZ137" s="66">
        <v>343</v>
      </c>
      <c r="BA137" s="33"/>
      <c r="BB137" s="66">
        <v>150</v>
      </c>
      <c r="BD137" s="66">
        <v>40</v>
      </c>
      <c r="BE137" s="33"/>
      <c r="BF137" s="66">
        <v>70</v>
      </c>
      <c r="BH137" s="66">
        <v>190</v>
      </c>
      <c r="BI137" s="33"/>
      <c r="BJ137" s="66">
        <v>100</v>
      </c>
      <c r="BK137" s="33"/>
      <c r="BL137" s="66">
        <v>22</v>
      </c>
      <c r="BM137" s="66">
        <v>1.5</v>
      </c>
      <c r="BN137" s="66">
        <v>28</v>
      </c>
      <c r="BO137" s="33"/>
      <c r="BP137" s="66">
        <v>231</v>
      </c>
      <c r="BR137" s="66">
        <v>24.6</v>
      </c>
      <c r="BT137" s="66">
        <v>161</v>
      </c>
      <c r="BV137" s="66">
        <v>18.5</v>
      </c>
      <c r="BW137" s="33"/>
      <c r="BY137" s="66">
        <v>8</v>
      </c>
      <c r="BZ137" s="66">
        <v>1.4</v>
      </c>
      <c r="CA137" s="66">
        <v>134</v>
      </c>
      <c r="CB137" s="66">
        <v>18.2</v>
      </c>
      <c r="CC137" s="66">
        <v>42.5</v>
      </c>
      <c r="CD137" s="66">
        <v>5.45</v>
      </c>
      <c r="CE137" s="66">
        <v>22.9</v>
      </c>
      <c r="CF137" s="66">
        <v>5.62</v>
      </c>
      <c r="CG137" s="66">
        <v>1.71</v>
      </c>
      <c r="CH137" s="66">
        <v>5.42</v>
      </c>
      <c r="CI137" s="66">
        <v>0.89</v>
      </c>
      <c r="CJ137" s="66">
        <v>5.21</v>
      </c>
      <c r="CK137" s="66">
        <v>1.01</v>
      </c>
      <c r="CL137" s="66">
        <v>2.69</v>
      </c>
      <c r="CM137" s="66">
        <v>0.377</v>
      </c>
      <c r="CN137" s="66">
        <v>2.3199999999999998</v>
      </c>
      <c r="CO137" s="66">
        <v>0.32800000000000001</v>
      </c>
      <c r="CP137" s="66">
        <v>4.4000000000000004</v>
      </c>
      <c r="CQ137" s="66">
        <v>1</v>
      </c>
      <c r="CR137" s="66" t="s">
        <v>847</v>
      </c>
      <c r="CS137" s="66">
        <v>2.94</v>
      </c>
      <c r="CT137" s="66">
        <v>1.34</v>
      </c>
    </row>
    <row r="138" spans="1:98">
      <c r="A138" s="1" t="s">
        <v>271</v>
      </c>
      <c r="B138" s="59" t="s">
        <v>852</v>
      </c>
      <c r="C138" s="59" t="s">
        <v>836</v>
      </c>
      <c r="D138" s="63">
        <v>65.831292000000005</v>
      </c>
      <c r="E138" s="63">
        <v>2.026802</v>
      </c>
      <c r="I138" s="59">
        <f>215.92+0.2</f>
        <v>216.11999999999998</v>
      </c>
      <c r="J138" s="59" t="s">
        <v>841</v>
      </c>
      <c r="K138" s="59" t="s">
        <v>842</v>
      </c>
      <c r="L138" s="1" t="s">
        <v>864</v>
      </c>
      <c r="M138" s="78" t="s">
        <v>862</v>
      </c>
      <c r="N138" s="78"/>
      <c r="O138" s="7"/>
      <c r="P138" s="1" t="s">
        <v>844</v>
      </c>
      <c r="Q138" s="1" t="s">
        <v>843</v>
      </c>
      <c r="R138" s="66">
        <v>48.81</v>
      </c>
      <c r="S138" s="66">
        <v>2.9319999999999999</v>
      </c>
      <c r="T138" s="66">
        <v>12.33</v>
      </c>
      <c r="U138" s="66">
        <v>13.06</v>
      </c>
      <c r="V138" s="59"/>
      <c r="W138" s="66">
        <v>0.16600000000000001</v>
      </c>
      <c r="X138" s="66">
        <v>4.54</v>
      </c>
      <c r="Y138" s="66">
        <v>6.3</v>
      </c>
      <c r="Z138" s="66">
        <v>2.95</v>
      </c>
      <c r="AA138" s="66">
        <v>1.0900000000000001</v>
      </c>
      <c r="AB138" s="66">
        <v>0.42</v>
      </c>
      <c r="AC138" s="6">
        <v>5.27</v>
      </c>
      <c r="AD138" s="23">
        <f t="shared" si="138"/>
        <v>97.868000000000009</v>
      </c>
      <c r="AE138" s="21">
        <f t="shared" si="139"/>
        <v>11.74094</v>
      </c>
      <c r="AF138" s="23">
        <f t="shared" si="140"/>
        <v>0.40805560903843213</v>
      </c>
      <c r="AG138" s="44"/>
      <c r="AH138" s="16">
        <f t="shared" si="141"/>
        <v>52.711721635456485</v>
      </c>
      <c r="AI138" s="16">
        <f t="shared" si="142"/>
        <v>3.1663750836951117</v>
      </c>
      <c r="AJ138" s="16">
        <f t="shared" si="143"/>
        <v>13.315622367653727</v>
      </c>
      <c r="AK138" s="16">
        <f t="shared" si="144"/>
        <v>14.103976327782455</v>
      </c>
      <c r="AL138" s="16">
        <f t="shared" si="145"/>
        <v>0</v>
      </c>
      <c r="AM138" s="16">
        <f t="shared" si="146"/>
        <v>0.17926953065940948</v>
      </c>
      <c r="AN138" s="16">
        <f t="shared" si="147"/>
        <v>4.9029136698416806</v>
      </c>
      <c r="AO138" s="16">
        <f t="shared" si="148"/>
        <v>6.8036026696040945</v>
      </c>
      <c r="AP138" s="16">
        <f t="shared" si="149"/>
        <v>3.1858139484654093</v>
      </c>
      <c r="AQ138" s="16">
        <f t="shared" si="150"/>
        <v>1.1771312555346767</v>
      </c>
      <c r="AR138" s="16">
        <f t="shared" si="151"/>
        <v>0.45357351130693963</v>
      </c>
      <c r="AS138" s="16">
        <f t="shared" si="152"/>
        <v>100</v>
      </c>
      <c r="AT138" s="16">
        <f t="shared" si="153"/>
        <v>12.679474718676428</v>
      </c>
      <c r="AU138" s="44"/>
      <c r="AV138" s="1" t="s">
        <v>845</v>
      </c>
      <c r="AW138" s="33"/>
      <c r="AX138" s="66">
        <v>2</v>
      </c>
      <c r="AY138" s="66">
        <v>30</v>
      </c>
      <c r="AZ138" s="66">
        <v>363</v>
      </c>
      <c r="BA138" s="33"/>
      <c r="BB138" s="66">
        <v>80</v>
      </c>
      <c r="BD138" s="66">
        <v>47</v>
      </c>
      <c r="BE138" s="33"/>
      <c r="BF138" s="66">
        <v>70</v>
      </c>
      <c r="BH138" s="66">
        <v>250</v>
      </c>
      <c r="BI138" s="33"/>
      <c r="BJ138" s="66">
        <v>160</v>
      </c>
      <c r="BK138" s="33"/>
      <c r="BL138" s="66">
        <v>22</v>
      </c>
      <c r="BM138" s="66">
        <v>1.2</v>
      </c>
      <c r="BN138" s="66">
        <v>29</v>
      </c>
      <c r="BO138" s="33"/>
      <c r="BP138" s="66">
        <v>279</v>
      </c>
      <c r="BR138" s="66">
        <v>42.7</v>
      </c>
      <c r="BT138" s="66">
        <v>217</v>
      </c>
      <c r="BV138" s="66">
        <v>23.8</v>
      </c>
      <c r="BW138" s="33"/>
      <c r="BY138" s="66">
        <v>6</v>
      </c>
      <c r="BZ138" s="66">
        <v>1.2</v>
      </c>
      <c r="CA138" s="66">
        <v>162</v>
      </c>
      <c r="CB138" s="66">
        <v>31.7</v>
      </c>
      <c r="CC138" s="66">
        <v>79.2</v>
      </c>
      <c r="CD138" s="66">
        <v>10.4</v>
      </c>
      <c r="CE138" s="66">
        <v>44.2</v>
      </c>
      <c r="CF138" s="66">
        <v>10.8</v>
      </c>
      <c r="CG138" s="66">
        <v>3.02</v>
      </c>
      <c r="CH138" s="66">
        <v>10.7</v>
      </c>
      <c r="CI138" s="66">
        <v>1.54</v>
      </c>
      <c r="CJ138" s="66">
        <v>9.0299999999999994</v>
      </c>
      <c r="CK138" s="66">
        <v>1.67</v>
      </c>
      <c r="CL138" s="66">
        <v>4.76</v>
      </c>
      <c r="CM138" s="66">
        <v>0.63300000000000001</v>
      </c>
      <c r="CN138" s="66">
        <v>3.81</v>
      </c>
      <c r="CO138" s="66">
        <v>0.55600000000000005</v>
      </c>
      <c r="CP138" s="66">
        <v>5.5</v>
      </c>
      <c r="CQ138" s="66">
        <v>1.6</v>
      </c>
      <c r="CR138" s="66">
        <v>10</v>
      </c>
      <c r="CS138" s="66">
        <v>3.98</v>
      </c>
      <c r="CT138" s="66">
        <v>1.71</v>
      </c>
    </row>
    <row r="139" spans="1:98">
      <c r="A139" s="1" t="s">
        <v>271</v>
      </c>
      <c r="B139" s="59" t="s">
        <v>852</v>
      </c>
      <c r="C139" s="59" t="s">
        <v>838</v>
      </c>
      <c r="D139" s="63">
        <v>65.831292000000005</v>
      </c>
      <c r="E139" s="63">
        <v>2.026802</v>
      </c>
      <c r="I139" s="59">
        <f>234.3+0.13</f>
        <v>234.43</v>
      </c>
      <c r="J139" s="59" t="s">
        <v>841</v>
      </c>
      <c r="K139" s="59" t="s">
        <v>842</v>
      </c>
      <c r="L139" s="1" t="s">
        <v>864</v>
      </c>
      <c r="M139" s="78" t="s">
        <v>862</v>
      </c>
      <c r="N139" s="78"/>
      <c r="O139" s="7"/>
      <c r="P139" s="1" t="s">
        <v>844</v>
      </c>
      <c r="Q139" s="1" t="s">
        <v>843</v>
      </c>
      <c r="R139" s="66">
        <v>53.68</v>
      </c>
      <c r="S139" s="66">
        <v>2.573</v>
      </c>
      <c r="T139" s="66">
        <v>12.13</v>
      </c>
      <c r="U139" s="66">
        <v>10.44</v>
      </c>
      <c r="V139" s="59"/>
      <c r="W139" s="66">
        <v>0.10199999999999999</v>
      </c>
      <c r="X139" s="66">
        <v>3.56</v>
      </c>
      <c r="Y139" s="66">
        <v>4.26</v>
      </c>
      <c r="Z139" s="66">
        <v>2.4900000000000002</v>
      </c>
      <c r="AA139" s="66">
        <v>1.55</v>
      </c>
      <c r="AB139" s="66">
        <v>0.26</v>
      </c>
      <c r="AC139" s="6">
        <v>8.44</v>
      </c>
      <c r="AD139" s="23">
        <f t="shared" si="138"/>
        <v>99.484999999999999</v>
      </c>
      <c r="AE139" s="21">
        <f t="shared" si="139"/>
        <v>9.3855599999999999</v>
      </c>
      <c r="AF139" s="23">
        <f t="shared" si="140"/>
        <v>0.40341253558178808</v>
      </c>
      <c r="AG139" s="44"/>
      <c r="AH139" s="16">
        <f t="shared" si="141"/>
        <v>58.959855016749955</v>
      </c>
      <c r="AI139" s="16">
        <f t="shared" si="142"/>
        <v>2.8260750178483169</v>
      </c>
      <c r="AJ139" s="16">
        <f t="shared" si="143"/>
        <v>13.323081992421329</v>
      </c>
      <c r="AK139" s="16">
        <f t="shared" si="144"/>
        <v>11.466857048712175</v>
      </c>
      <c r="AL139" s="16">
        <f t="shared" si="145"/>
        <v>0</v>
      </c>
      <c r="AM139" s="16">
        <f t="shared" si="146"/>
        <v>0.11203251139546377</v>
      </c>
      <c r="AN139" s="16">
        <f t="shared" si="147"/>
        <v>3.9101543192926576</v>
      </c>
      <c r="AO139" s="16">
        <f t="shared" si="148"/>
        <v>4.6790048876928987</v>
      </c>
      <c r="AP139" s="16">
        <f t="shared" si="149"/>
        <v>2.7349113075951457</v>
      </c>
      <c r="AQ139" s="16">
        <f t="shared" si="150"/>
        <v>1.7024548300291065</v>
      </c>
      <c r="AR139" s="16">
        <f t="shared" si="151"/>
        <v>0.28557306826294687</v>
      </c>
      <c r="AS139" s="16">
        <f t="shared" si="152"/>
        <v>100</v>
      </c>
      <c r="AT139" s="16">
        <f t="shared" si="153"/>
        <v>10.308704486792246</v>
      </c>
      <c r="AU139" s="44"/>
      <c r="AV139" s="1" t="s">
        <v>845</v>
      </c>
      <c r="AW139" s="33"/>
      <c r="AX139" s="66">
        <v>2</v>
      </c>
      <c r="AY139" s="66">
        <v>28</v>
      </c>
      <c r="AZ139" s="66">
        <v>375</v>
      </c>
      <c r="BA139" s="33"/>
      <c r="BB139" s="66">
        <v>80</v>
      </c>
      <c r="BD139" s="66">
        <v>24</v>
      </c>
      <c r="BE139" s="33"/>
      <c r="BF139" s="66">
        <v>30</v>
      </c>
      <c r="BH139" s="66">
        <v>180</v>
      </c>
      <c r="BI139" s="33"/>
      <c r="BJ139" s="66">
        <v>120</v>
      </c>
      <c r="BK139" s="33"/>
      <c r="BL139" s="66">
        <v>23</v>
      </c>
      <c r="BM139" s="66">
        <v>1.2</v>
      </c>
      <c r="BN139" s="66">
        <v>57</v>
      </c>
      <c r="BO139" s="33"/>
      <c r="BP139" s="66">
        <v>212</v>
      </c>
      <c r="BR139" s="66">
        <v>33.9</v>
      </c>
      <c r="BT139" s="66">
        <v>244</v>
      </c>
      <c r="BV139" s="66">
        <v>27.5</v>
      </c>
      <c r="BW139" s="33"/>
      <c r="BY139" s="66">
        <v>6</v>
      </c>
      <c r="BZ139" s="66">
        <v>3.2</v>
      </c>
      <c r="CA139" s="66">
        <v>241</v>
      </c>
      <c r="CB139" s="66">
        <v>32.700000000000003</v>
      </c>
      <c r="CC139" s="66">
        <v>71.5</v>
      </c>
      <c r="CD139" s="66">
        <v>8.9499999999999993</v>
      </c>
      <c r="CE139" s="66">
        <v>36.5</v>
      </c>
      <c r="CF139" s="66">
        <v>7.89</v>
      </c>
      <c r="CG139" s="66">
        <v>2.09</v>
      </c>
      <c r="CH139" s="66">
        <v>7.3</v>
      </c>
      <c r="CI139" s="66">
        <v>1.1299999999999999</v>
      </c>
      <c r="CJ139" s="66">
        <v>6.88</v>
      </c>
      <c r="CK139" s="66">
        <v>1.33</v>
      </c>
      <c r="CL139" s="66">
        <v>3.61</v>
      </c>
      <c r="CM139" s="66">
        <v>0.51</v>
      </c>
      <c r="CN139" s="66">
        <v>3.22</v>
      </c>
      <c r="CO139" s="66">
        <v>0.49099999999999999</v>
      </c>
      <c r="CP139" s="66">
        <v>6.1</v>
      </c>
      <c r="CQ139" s="66">
        <v>1.71</v>
      </c>
      <c r="CR139" s="66">
        <v>6</v>
      </c>
      <c r="CS139" s="66">
        <v>5.32</v>
      </c>
      <c r="CT139" s="66">
        <v>2.63</v>
      </c>
    </row>
    <row r="140" spans="1:98">
      <c r="A140" s="1" t="s">
        <v>271</v>
      </c>
      <c r="B140" s="59" t="s">
        <v>852</v>
      </c>
      <c r="C140" s="59" t="s">
        <v>837</v>
      </c>
      <c r="D140" s="63">
        <v>65.831292000000005</v>
      </c>
      <c r="E140" s="63">
        <v>2.026802</v>
      </c>
      <c r="I140" s="59">
        <f>265.1+0.74</f>
        <v>265.84000000000003</v>
      </c>
      <c r="J140" s="59" t="s">
        <v>841</v>
      </c>
      <c r="K140" s="59" t="s">
        <v>842</v>
      </c>
      <c r="L140" s="1" t="s">
        <v>864</v>
      </c>
      <c r="M140" s="78" t="s">
        <v>862</v>
      </c>
      <c r="N140" s="78"/>
      <c r="O140" s="7"/>
      <c r="P140" s="1" t="s">
        <v>844</v>
      </c>
      <c r="Q140" s="1" t="s">
        <v>843</v>
      </c>
      <c r="R140" s="66">
        <v>48.15</v>
      </c>
      <c r="S140" s="66">
        <v>4.0919999999999996</v>
      </c>
      <c r="T140" s="66">
        <v>12.57</v>
      </c>
      <c r="U140" s="66">
        <v>14.77</v>
      </c>
      <c r="V140" s="59"/>
      <c r="W140" s="66">
        <v>0.192</v>
      </c>
      <c r="X140" s="66">
        <v>4.6100000000000003</v>
      </c>
      <c r="Y140" s="66">
        <v>8.67</v>
      </c>
      <c r="Z140" s="66">
        <v>2.74</v>
      </c>
      <c r="AA140" s="66">
        <v>0.89</v>
      </c>
      <c r="AB140" s="66">
        <v>0.53</v>
      </c>
      <c r="AC140" s="6">
        <v>3.16</v>
      </c>
      <c r="AD140" s="23">
        <f t="shared" si="138"/>
        <v>100.37399999999998</v>
      </c>
      <c r="AE140" s="21">
        <f t="shared" si="139"/>
        <v>13.278230000000001</v>
      </c>
      <c r="AF140" s="23">
        <f t="shared" si="140"/>
        <v>0.38231060298518327</v>
      </c>
      <c r="AG140" s="44"/>
      <c r="AH140" s="16">
        <f t="shared" si="141"/>
        <v>49.529903100376494</v>
      </c>
      <c r="AI140" s="16">
        <f t="shared" si="142"/>
        <v>4.2092702697142395</v>
      </c>
      <c r="AJ140" s="16">
        <f t="shared" si="143"/>
        <v>12.930236385705765</v>
      </c>
      <c r="AK140" s="16">
        <f t="shared" si="144"/>
        <v>15.193284917810194</v>
      </c>
      <c r="AL140" s="16">
        <f t="shared" si="145"/>
        <v>0</v>
      </c>
      <c r="AM140" s="16">
        <f t="shared" si="146"/>
        <v>0.19750241734729568</v>
      </c>
      <c r="AN140" s="16">
        <f t="shared" si="147"/>
        <v>4.7421153331824648</v>
      </c>
      <c r="AO140" s="16">
        <f t="shared" si="148"/>
        <v>8.9184685333388209</v>
      </c>
      <c r="AP140" s="16">
        <f t="shared" si="149"/>
        <v>2.8185240808936989</v>
      </c>
      <c r="AQ140" s="16">
        <f t="shared" si="150"/>
        <v>0.91550599707861025</v>
      </c>
      <c r="AR140" s="16">
        <f t="shared" si="151"/>
        <v>0.54518896455243082</v>
      </c>
      <c r="AS140" s="16">
        <f t="shared" si="152"/>
        <v>100.00000000000001</v>
      </c>
      <c r="AT140" s="16">
        <f t="shared" si="153"/>
        <v>13.658763141111365</v>
      </c>
      <c r="AU140" s="44"/>
      <c r="AV140" s="1" t="s">
        <v>845</v>
      </c>
      <c r="AW140" s="33"/>
      <c r="AX140" s="66">
        <v>2</v>
      </c>
      <c r="AY140" s="66">
        <v>32</v>
      </c>
      <c r="AZ140" s="66">
        <v>433</v>
      </c>
      <c r="BA140" s="33"/>
      <c r="BB140" s="66">
        <v>60</v>
      </c>
      <c r="BD140" s="66">
        <v>53</v>
      </c>
      <c r="BE140" s="33"/>
      <c r="BF140" s="66">
        <v>70</v>
      </c>
      <c r="BH140" s="66">
        <v>290</v>
      </c>
      <c r="BI140" s="33"/>
      <c r="BJ140" s="66">
        <v>160</v>
      </c>
      <c r="BK140" s="33"/>
      <c r="BL140" s="66">
        <v>25</v>
      </c>
      <c r="BM140" s="66">
        <v>1.5</v>
      </c>
      <c r="BN140" s="66">
        <v>20</v>
      </c>
      <c r="BO140" s="33"/>
      <c r="BP140" s="66">
        <v>374</v>
      </c>
      <c r="BR140" s="66">
        <v>57.7</v>
      </c>
      <c r="BT140" s="66">
        <v>325</v>
      </c>
      <c r="BV140" s="66">
        <v>43.8</v>
      </c>
      <c r="BW140" s="33"/>
      <c r="BY140" s="66">
        <v>14</v>
      </c>
      <c r="BZ140" s="66">
        <v>0.5</v>
      </c>
      <c r="CA140" s="66">
        <v>189</v>
      </c>
      <c r="CB140" s="66">
        <v>42.9</v>
      </c>
      <c r="CC140" s="66">
        <v>105</v>
      </c>
      <c r="CD140" s="66">
        <v>13.9</v>
      </c>
      <c r="CE140" s="66">
        <v>60.3</v>
      </c>
      <c r="CF140" s="66">
        <v>14.1</v>
      </c>
      <c r="CG140" s="66">
        <v>3.95</v>
      </c>
      <c r="CH140" s="66">
        <v>13.6</v>
      </c>
      <c r="CI140" s="66">
        <v>2.11</v>
      </c>
      <c r="CJ140" s="66">
        <v>12.2</v>
      </c>
      <c r="CK140" s="66">
        <v>2.35</v>
      </c>
      <c r="CL140" s="66">
        <v>6.27</v>
      </c>
      <c r="CM140" s="66">
        <v>0.80400000000000005</v>
      </c>
      <c r="CN140" s="66">
        <v>4.8099999999999996</v>
      </c>
      <c r="CO140" s="66">
        <v>0.73099999999999998</v>
      </c>
      <c r="CP140" s="66">
        <v>8.4</v>
      </c>
      <c r="CQ140" s="66">
        <v>2.61</v>
      </c>
      <c r="CR140" s="66">
        <v>5</v>
      </c>
      <c r="CS140" s="66">
        <v>4.2</v>
      </c>
      <c r="CT140" s="66">
        <v>1.85</v>
      </c>
    </row>
    <row r="141" spans="1:98">
      <c r="A141" s="1" t="s">
        <v>271</v>
      </c>
      <c r="B141" s="59" t="s">
        <v>853</v>
      </c>
      <c r="C141" s="59" t="s">
        <v>839</v>
      </c>
      <c r="D141" s="63">
        <v>65.831180000000003</v>
      </c>
      <c r="E141" s="63">
        <v>1.9862379999999999</v>
      </c>
      <c r="I141" s="59">
        <f>51.8+1.06</f>
        <v>52.86</v>
      </c>
      <c r="J141" s="59" t="s">
        <v>841</v>
      </c>
      <c r="K141" s="59" t="s">
        <v>842</v>
      </c>
      <c r="L141" s="1" t="s">
        <v>864</v>
      </c>
      <c r="M141" s="78" t="s">
        <v>862</v>
      </c>
      <c r="N141" s="78"/>
      <c r="O141" s="7"/>
      <c r="P141" s="1" t="s">
        <v>844</v>
      </c>
      <c r="Q141" s="1" t="s">
        <v>843</v>
      </c>
      <c r="R141" s="66">
        <v>48.75</v>
      </c>
      <c r="S141" s="66">
        <v>4.16</v>
      </c>
      <c r="T141" s="66">
        <v>12.48</v>
      </c>
      <c r="U141" s="66">
        <v>15.9</v>
      </c>
      <c r="V141" s="59"/>
      <c r="W141" s="66">
        <v>0.21</v>
      </c>
      <c r="X141" s="66">
        <v>4.58</v>
      </c>
      <c r="Y141" s="66">
        <v>8.57</v>
      </c>
      <c r="Z141" s="66">
        <v>2.57</v>
      </c>
      <c r="AA141" s="66">
        <v>1.02</v>
      </c>
      <c r="AB141" s="66">
        <v>0.54</v>
      </c>
      <c r="AC141" s="6">
        <v>2</v>
      </c>
      <c r="AD141" s="23">
        <f t="shared" si="138"/>
        <v>100.78</v>
      </c>
      <c r="AE141" s="21">
        <f t="shared" si="139"/>
        <v>14.2941</v>
      </c>
      <c r="AF141" s="23">
        <f t="shared" si="140"/>
        <v>0.36354694285782946</v>
      </c>
      <c r="AG141" s="44"/>
      <c r="AH141" s="16">
        <f t="shared" si="141"/>
        <v>49.35209556590403</v>
      </c>
      <c r="AI141" s="16">
        <f t="shared" si="142"/>
        <v>4.2113788216238106</v>
      </c>
      <c r="AJ141" s="16">
        <f t="shared" si="143"/>
        <v>12.634136464871432</v>
      </c>
      <c r="AK141" s="16">
        <f t="shared" si="144"/>
        <v>16.096375784571777</v>
      </c>
      <c r="AL141" s="16">
        <f t="shared" si="145"/>
        <v>0</v>
      </c>
      <c r="AM141" s="16">
        <f t="shared" si="146"/>
        <v>0.21259364243774043</v>
      </c>
      <c r="AN141" s="16">
        <f t="shared" si="147"/>
        <v>4.6365661064992914</v>
      </c>
      <c r="AO141" s="16">
        <f t="shared" si="148"/>
        <v>8.6758453128163602</v>
      </c>
      <c r="AP141" s="16">
        <f t="shared" si="149"/>
        <v>2.6017412431666327</v>
      </c>
      <c r="AQ141" s="16">
        <f t="shared" si="150"/>
        <v>1.0325976918404536</v>
      </c>
      <c r="AR141" s="16">
        <f t="shared" si="151"/>
        <v>0.5466693662684754</v>
      </c>
      <c r="AS141" s="16">
        <f t="shared" si="152"/>
        <v>99.999999999999986</v>
      </c>
      <c r="AT141" s="16">
        <f t="shared" si="153"/>
        <v>14.470641830330027</v>
      </c>
      <c r="AU141" s="44"/>
      <c r="AV141" s="1" t="s">
        <v>845</v>
      </c>
      <c r="AW141" s="33"/>
      <c r="AX141" s="66">
        <v>3</v>
      </c>
      <c r="AY141" s="66">
        <v>31</v>
      </c>
      <c r="AZ141" s="66">
        <v>426</v>
      </c>
      <c r="BA141" s="33"/>
      <c r="BB141" s="66">
        <v>40</v>
      </c>
      <c r="BD141" s="66">
        <v>50</v>
      </c>
      <c r="BE141" s="33"/>
      <c r="BF141" s="66">
        <v>60</v>
      </c>
      <c r="BH141" s="66">
        <v>270</v>
      </c>
      <c r="BI141" s="33"/>
      <c r="BJ141" s="66">
        <v>170</v>
      </c>
      <c r="BK141" s="33"/>
      <c r="BL141" s="66">
        <v>27</v>
      </c>
      <c r="BM141" s="66">
        <v>1.6</v>
      </c>
      <c r="BN141" s="66">
        <v>23</v>
      </c>
      <c r="BO141" s="33"/>
      <c r="BP141" s="66">
        <v>358</v>
      </c>
      <c r="BR141" s="66">
        <v>53.9</v>
      </c>
      <c r="BT141" s="66">
        <v>342</v>
      </c>
      <c r="BV141" s="66">
        <v>41.3</v>
      </c>
      <c r="BW141" s="33"/>
      <c r="BY141" s="66">
        <v>12</v>
      </c>
      <c r="BZ141" s="66">
        <v>0.4</v>
      </c>
      <c r="CA141" s="66">
        <v>210</v>
      </c>
      <c r="CB141" s="66">
        <v>42.8</v>
      </c>
      <c r="CC141" s="66">
        <v>102</v>
      </c>
      <c r="CD141" s="66">
        <v>13.6</v>
      </c>
      <c r="CE141" s="66">
        <v>58.8</v>
      </c>
      <c r="CF141" s="66">
        <v>13.7</v>
      </c>
      <c r="CG141" s="66">
        <v>3.84</v>
      </c>
      <c r="CH141" s="66">
        <v>12.9</v>
      </c>
      <c r="CI141" s="66">
        <v>2.0099999999999998</v>
      </c>
      <c r="CJ141" s="66">
        <v>11.9</v>
      </c>
      <c r="CK141" s="66">
        <v>2.21</v>
      </c>
      <c r="CL141" s="66">
        <v>6</v>
      </c>
      <c r="CM141" s="66">
        <v>0.79500000000000004</v>
      </c>
      <c r="CN141" s="66">
        <v>4.95</v>
      </c>
      <c r="CO141" s="66">
        <v>0.72699999999999998</v>
      </c>
      <c r="CP141" s="66">
        <v>8.9</v>
      </c>
      <c r="CQ141" s="66">
        <v>2.5</v>
      </c>
      <c r="CR141" s="66">
        <v>10</v>
      </c>
      <c r="CS141" s="66">
        <v>4.21</v>
      </c>
      <c r="CT141" s="66">
        <v>1.53</v>
      </c>
    </row>
    <row r="142" spans="1:98">
      <c r="A142" s="1" t="s">
        <v>271</v>
      </c>
      <c r="B142" s="59" t="s">
        <v>853</v>
      </c>
      <c r="C142" s="59" t="s">
        <v>840</v>
      </c>
      <c r="D142" s="63">
        <v>65.831180000000003</v>
      </c>
      <c r="E142" s="63">
        <v>1.9862379999999999</v>
      </c>
      <c r="I142" s="59">
        <f>91.88+0.08</f>
        <v>91.96</v>
      </c>
      <c r="J142" s="59" t="s">
        <v>841</v>
      </c>
      <c r="K142" s="59" t="s">
        <v>842</v>
      </c>
      <c r="L142" s="1" t="s">
        <v>864</v>
      </c>
      <c r="M142" s="78" t="s">
        <v>862</v>
      </c>
      <c r="N142" s="78"/>
      <c r="O142" s="7"/>
      <c r="P142" s="1" t="s">
        <v>844</v>
      </c>
      <c r="Q142" s="1" t="s">
        <v>843</v>
      </c>
      <c r="R142" s="66">
        <v>48.97</v>
      </c>
      <c r="S142" s="66">
        <v>2.6419999999999999</v>
      </c>
      <c r="T142" s="66">
        <v>13.44</v>
      </c>
      <c r="U142" s="66">
        <v>13.91</v>
      </c>
      <c r="V142" s="59"/>
      <c r="W142" s="66">
        <v>0.183</v>
      </c>
      <c r="X142" s="66">
        <v>5.23</v>
      </c>
      <c r="Y142" s="66">
        <v>9.4700000000000006</v>
      </c>
      <c r="Z142" s="66">
        <v>2.4500000000000002</v>
      </c>
      <c r="AA142" s="66">
        <v>0.65</v>
      </c>
      <c r="AB142" s="66">
        <v>0.24</v>
      </c>
      <c r="AC142" s="6">
        <v>3.37</v>
      </c>
      <c r="AD142" s="23">
        <f t="shared" si="138"/>
        <v>100.55500000000002</v>
      </c>
      <c r="AE142" s="21">
        <f t="shared" si="139"/>
        <v>12.505090000000001</v>
      </c>
      <c r="AF142" s="23">
        <f t="shared" si="140"/>
        <v>0.42712793182600051</v>
      </c>
      <c r="AG142" s="44"/>
      <c r="AH142" s="16">
        <f t="shared" si="141"/>
        <v>50.388434429181451</v>
      </c>
      <c r="AI142" s="16">
        <f t="shared" si="142"/>
        <v>2.718526521582548</v>
      </c>
      <c r="AJ142" s="16">
        <f t="shared" si="143"/>
        <v>13.829294644235219</v>
      </c>
      <c r="AK142" s="16">
        <f t="shared" si="144"/>
        <v>14.312908370633325</v>
      </c>
      <c r="AL142" s="16">
        <f t="shared" si="145"/>
        <v>0</v>
      </c>
      <c r="AM142" s="16">
        <f t="shared" si="146"/>
        <v>0.18830066368266704</v>
      </c>
      <c r="AN142" s="16">
        <f t="shared" si="147"/>
        <v>5.3814889128980798</v>
      </c>
      <c r="AO142" s="16">
        <f t="shared" si="148"/>
        <v>9.7443021042341922</v>
      </c>
      <c r="AP142" s="16">
        <f t="shared" si="149"/>
        <v>2.5209651695220456</v>
      </c>
      <c r="AQ142" s="16">
        <f t="shared" si="150"/>
        <v>0.66882749395482832</v>
      </c>
      <c r="AR142" s="16">
        <f t="shared" si="151"/>
        <v>0.24695169007562892</v>
      </c>
      <c r="AS142" s="16">
        <f t="shared" si="152"/>
        <v>99.999999999999972</v>
      </c>
      <c r="AT142" s="16">
        <f t="shared" si="153"/>
        <v>12.86730462519936</v>
      </c>
      <c r="AU142" s="44"/>
      <c r="AV142" s="1" t="s">
        <v>845</v>
      </c>
      <c r="AW142" s="33"/>
      <c r="AX142" s="66">
        <v>1</v>
      </c>
      <c r="AY142" s="66">
        <v>36</v>
      </c>
      <c r="AZ142" s="66">
        <v>365</v>
      </c>
      <c r="BA142" s="33"/>
      <c r="BB142" s="66">
        <v>130</v>
      </c>
      <c r="BD142" s="66">
        <v>45</v>
      </c>
      <c r="BE142" s="33"/>
      <c r="BF142" s="66">
        <v>70</v>
      </c>
      <c r="BH142" s="66">
        <v>260</v>
      </c>
      <c r="BI142" s="33"/>
      <c r="BJ142" s="66">
        <v>140</v>
      </c>
      <c r="BK142" s="33"/>
      <c r="BL142" s="66">
        <v>22</v>
      </c>
      <c r="BM142" s="66">
        <v>1.4</v>
      </c>
      <c r="BN142" s="66">
        <v>13</v>
      </c>
      <c r="BO142" s="33"/>
      <c r="BP142" s="66">
        <v>289</v>
      </c>
      <c r="BR142" s="66">
        <v>35.299999999999997</v>
      </c>
      <c r="BT142" s="66">
        <v>174</v>
      </c>
      <c r="BV142" s="66">
        <v>19.7</v>
      </c>
      <c r="BW142" s="33"/>
      <c r="BY142" s="66">
        <v>7</v>
      </c>
      <c r="BZ142" s="66">
        <v>0.4</v>
      </c>
      <c r="CA142" s="66">
        <v>117</v>
      </c>
      <c r="CB142" s="66">
        <v>18.3</v>
      </c>
      <c r="CC142" s="66">
        <v>44.6</v>
      </c>
      <c r="CD142" s="66">
        <v>6.07</v>
      </c>
      <c r="CE142" s="66">
        <v>28.4</v>
      </c>
      <c r="CF142" s="66">
        <v>7.21</v>
      </c>
      <c r="CG142" s="66">
        <v>2.2799999999999998</v>
      </c>
      <c r="CH142" s="66">
        <v>7.59</v>
      </c>
      <c r="CI142" s="66">
        <v>1.2</v>
      </c>
      <c r="CJ142" s="66">
        <v>7.3</v>
      </c>
      <c r="CK142" s="66">
        <v>1.42</v>
      </c>
      <c r="CL142" s="66">
        <v>3.71</v>
      </c>
      <c r="CM142" s="66">
        <v>0.52400000000000002</v>
      </c>
      <c r="CN142" s="66">
        <v>3.37</v>
      </c>
      <c r="CO142" s="66">
        <v>0.52400000000000002</v>
      </c>
      <c r="CP142" s="66">
        <v>4.4000000000000004</v>
      </c>
      <c r="CQ142" s="66">
        <v>1.1399999999999999</v>
      </c>
      <c r="CR142" s="66" t="s">
        <v>847</v>
      </c>
      <c r="CS142" s="66">
        <v>2.1800000000000002</v>
      </c>
      <c r="CT142" s="66">
        <v>2.1800000000000002</v>
      </c>
    </row>
    <row r="143" spans="1:98">
      <c r="A143" s="56" t="s">
        <v>643</v>
      </c>
    </row>
    <row r="144" spans="1:98">
      <c r="A144" s="1" t="s">
        <v>289</v>
      </c>
      <c r="B144" s="1" t="s">
        <v>290</v>
      </c>
      <c r="C144" s="35" t="s">
        <v>330</v>
      </c>
      <c r="D144" s="63">
        <v>67.22</v>
      </c>
      <c r="E144" s="63">
        <v>2.93</v>
      </c>
      <c r="F144" s="1" t="s">
        <v>308</v>
      </c>
      <c r="G144" s="1" t="s">
        <v>222</v>
      </c>
      <c r="I144" s="68">
        <f>410.99+0.45</f>
        <v>411.44</v>
      </c>
      <c r="J144" s="1" t="s">
        <v>256</v>
      </c>
      <c r="K144" s="1" t="s">
        <v>52</v>
      </c>
      <c r="L144" s="1" t="s">
        <v>864</v>
      </c>
      <c r="M144" s="78" t="s">
        <v>862</v>
      </c>
      <c r="N144" s="78"/>
      <c r="P144" s="1" t="s">
        <v>399</v>
      </c>
      <c r="Q144" s="1" t="s">
        <v>403</v>
      </c>
      <c r="R144" s="4">
        <v>47.948</v>
      </c>
      <c r="S144" s="4">
        <v>1.726</v>
      </c>
      <c r="T144" s="4">
        <v>15.522</v>
      </c>
      <c r="U144" s="4">
        <v>9.8000000000000007</v>
      </c>
      <c r="V144" s="4">
        <v>3.23</v>
      </c>
      <c r="W144" s="4">
        <v>0.13300000000000001</v>
      </c>
      <c r="X144" s="4">
        <v>6.5309999999999997</v>
      </c>
      <c r="Y144" s="4">
        <v>9.3260000000000005</v>
      </c>
      <c r="Z144" s="4">
        <v>2.84</v>
      </c>
      <c r="AA144" s="4">
        <v>0.63100000000000001</v>
      </c>
      <c r="AB144" s="4">
        <v>0.252</v>
      </c>
      <c r="AC144" s="67">
        <v>1.9390000000000001</v>
      </c>
      <c r="AD144" s="23">
        <f t="shared" ref="AD144:AD175" si="154">SUM(R144:AB144)+AC144</f>
        <v>99.878000000000014</v>
      </c>
      <c r="AE144" s="21">
        <f t="shared" ref="AE144:AE175" si="155">V144+0.899*U144</f>
        <v>12.0402</v>
      </c>
      <c r="AF144" s="23">
        <f t="shared" ref="AF144:AF175" si="156">(X144/40.3)/((X144/40.3)+(AE144/71.844))</f>
        <v>0.49161444949866917</v>
      </c>
      <c r="AH144" s="16">
        <f t="shared" ref="AH144:AH175" si="157">100*R144/SUM($R144:$AB144)</f>
        <v>48.957003849334789</v>
      </c>
      <c r="AI144" s="16">
        <f t="shared" ref="AI144:AI175" si="158">100*S144/SUM($R144:$AB144)</f>
        <v>1.7623214449810594</v>
      </c>
      <c r="AJ144" s="16">
        <f t="shared" ref="AJ144:AJ175" si="159">100*T144/SUM($R144:$AB144)</f>
        <v>15.848640480298961</v>
      </c>
      <c r="AK144" s="16">
        <f t="shared" ref="AK144:AK175" si="160">100*U144/SUM($R144:$AB144)</f>
        <v>10.006228366636376</v>
      </c>
      <c r="AL144" s="16">
        <f t="shared" ref="AL144:AL175" si="161">100*V144/SUM($R144:$AB144)</f>
        <v>3.2979711861464787</v>
      </c>
      <c r="AM144" s="16">
        <f t="shared" ref="AM144:AM175" si="162">100*W144/SUM($R144:$AB144)</f>
        <v>0.13579881354720796</v>
      </c>
      <c r="AN144" s="16">
        <f t="shared" ref="AN144:AN175" si="163">100*X144/SUM($R144:$AB144)</f>
        <v>6.6684364757655272</v>
      </c>
      <c r="AO144" s="16">
        <f t="shared" ref="AO144:AO175" si="164">100*Y144/SUM($R144:$AB144)</f>
        <v>9.5222536476786566</v>
      </c>
      <c r="AP144" s="16">
        <f t="shared" ref="AP144:AP175" si="165">100*Z144/SUM($R144:$AB144)</f>
        <v>2.8997641389027864</v>
      </c>
      <c r="AQ144" s="16">
        <f t="shared" ref="AQ144:AQ175" si="166">100*AA144/SUM($R144:$AB144)</f>
        <v>0.64427858156607676</v>
      </c>
      <c r="AR144" s="16">
        <f t="shared" ref="AR144:AR175" si="167">100*AB144/SUM($R144:$AB144)</f>
        <v>0.25730301514207821</v>
      </c>
      <c r="AS144" s="16">
        <f t="shared" ref="AS144:AS175" si="168">SUM(AH144:AR144)</f>
        <v>100</v>
      </c>
      <c r="AT144" s="16">
        <f t="shared" ref="AT144:AT175" si="169">AL144+0.899*AK144</f>
        <v>12.29357048775258</v>
      </c>
      <c r="AV144" s="1" t="s">
        <v>402</v>
      </c>
      <c r="AY144" s="34"/>
      <c r="AZ144" s="34"/>
      <c r="BA144" s="6">
        <v>332</v>
      </c>
      <c r="BB144" s="34"/>
      <c r="BC144" s="6">
        <v>340</v>
      </c>
      <c r="BD144" s="34"/>
      <c r="BE144" s="34"/>
      <c r="BF144" s="34"/>
      <c r="BG144" s="6">
        <v>117</v>
      </c>
      <c r="BH144" s="34"/>
      <c r="BI144" s="6">
        <v>214</v>
      </c>
      <c r="BJ144" s="34"/>
      <c r="BK144" s="6">
        <v>81</v>
      </c>
      <c r="BN144" s="34"/>
      <c r="BO144" s="34"/>
      <c r="BP144" s="34"/>
      <c r="BQ144" s="1">
        <v>178</v>
      </c>
      <c r="BR144" s="34"/>
      <c r="BS144" s="1">
        <v>28</v>
      </c>
      <c r="BT144" s="34"/>
      <c r="BU144" s="1">
        <v>143</v>
      </c>
      <c r="BV144" s="34"/>
      <c r="BW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</row>
    <row r="145" spans="1:98">
      <c r="A145" s="1" t="s">
        <v>289</v>
      </c>
      <c r="B145" s="1" t="s">
        <v>290</v>
      </c>
      <c r="C145" s="8" t="s">
        <v>322</v>
      </c>
      <c r="D145" s="63">
        <v>67.22</v>
      </c>
      <c r="E145" s="63">
        <v>2.93</v>
      </c>
      <c r="F145" s="1" t="s">
        <v>308</v>
      </c>
      <c r="G145" s="36" t="s">
        <v>163</v>
      </c>
      <c r="H145" s="36"/>
      <c r="I145" s="68">
        <f>462.38+0.96</f>
        <v>463.34</v>
      </c>
      <c r="J145" s="1" t="s">
        <v>256</v>
      </c>
      <c r="K145" s="1" t="s">
        <v>52</v>
      </c>
      <c r="L145" s="1" t="s">
        <v>864</v>
      </c>
      <c r="M145" s="78" t="s">
        <v>862</v>
      </c>
      <c r="N145" s="78"/>
      <c r="P145" s="1" t="s">
        <v>399</v>
      </c>
      <c r="Q145" s="1" t="s">
        <v>403</v>
      </c>
      <c r="R145" s="4">
        <v>48.759</v>
      </c>
      <c r="S145" s="4">
        <v>1.6339999999999999</v>
      </c>
      <c r="T145" s="4">
        <v>17.864999999999998</v>
      </c>
      <c r="U145" s="4">
        <v>6.4530000000000003</v>
      </c>
      <c r="V145" s="4">
        <v>4.12</v>
      </c>
      <c r="W145" s="4">
        <v>0.187</v>
      </c>
      <c r="X145" s="4">
        <v>6.3890000000000002</v>
      </c>
      <c r="Y145" s="4">
        <v>9.8019999999999996</v>
      </c>
      <c r="Z145" s="4">
        <v>2.95</v>
      </c>
      <c r="AA145" s="4">
        <v>0.124</v>
      </c>
      <c r="AB145" s="4">
        <v>0.153</v>
      </c>
      <c r="AC145" s="67">
        <v>1.4790000000000001</v>
      </c>
      <c r="AD145" s="23">
        <f t="shared" si="154"/>
        <v>99.915000000000006</v>
      </c>
      <c r="AE145" s="21">
        <f t="shared" si="155"/>
        <v>9.921247000000001</v>
      </c>
      <c r="AF145" s="23">
        <f t="shared" si="156"/>
        <v>0.53445649326514011</v>
      </c>
      <c r="AH145" s="16">
        <f t="shared" si="157"/>
        <v>49.533707180299885</v>
      </c>
      <c r="AI145" s="16">
        <f t="shared" si="158"/>
        <v>1.6599618025925471</v>
      </c>
      <c r="AJ145" s="16">
        <f t="shared" si="159"/>
        <v>18.148847982445442</v>
      </c>
      <c r="AK145" s="16">
        <f t="shared" si="160"/>
        <v>6.5555284651956605</v>
      </c>
      <c r="AL145" s="16">
        <f t="shared" si="161"/>
        <v>4.1854606038441213</v>
      </c>
      <c r="AM145" s="16">
        <f t="shared" si="162"/>
        <v>0.18997114876671134</v>
      </c>
      <c r="AN145" s="16">
        <f t="shared" si="163"/>
        <v>6.4905116014466246</v>
      </c>
      <c r="AO145" s="16">
        <f t="shared" si="164"/>
        <v>9.9577390385631261</v>
      </c>
      <c r="AP145" s="16">
        <f t="shared" si="165"/>
        <v>2.9968710634320774</v>
      </c>
      <c r="AQ145" s="16">
        <f t="shared" si="166"/>
        <v>0.12597017351375511</v>
      </c>
      <c r="AR145" s="16">
        <f t="shared" si="167"/>
        <v>0.15543093990003656</v>
      </c>
      <c r="AS145" s="16">
        <f t="shared" si="168"/>
        <v>100.00000000000001</v>
      </c>
      <c r="AT145" s="16">
        <f t="shared" si="169"/>
        <v>10.07888069405502</v>
      </c>
      <c r="AV145" s="1" t="s">
        <v>402</v>
      </c>
      <c r="AY145" s="34">
        <v>30.079886241509897</v>
      </c>
      <c r="AZ145" s="34">
        <v>309.78946193467601</v>
      </c>
      <c r="BA145" s="6">
        <v>318</v>
      </c>
      <c r="BB145" s="34">
        <v>31.58017982376057</v>
      </c>
      <c r="BC145" s="6">
        <v>41</v>
      </c>
      <c r="BD145" s="34">
        <v>40.515525517030859</v>
      </c>
      <c r="BE145" s="34"/>
      <c r="BF145" s="34">
        <v>45.860669990432974</v>
      </c>
      <c r="BG145" s="6">
        <v>51</v>
      </c>
      <c r="BH145" s="34">
        <v>94.176284268087599</v>
      </c>
      <c r="BI145" s="6">
        <v>98</v>
      </c>
      <c r="BJ145" s="34">
        <v>93.425345939454417</v>
      </c>
      <c r="BK145" s="6">
        <v>88</v>
      </c>
      <c r="BN145" s="34">
        <v>0.50553408760922025</v>
      </c>
      <c r="BO145" s="34"/>
      <c r="BP145" s="34">
        <v>199.50432064206515</v>
      </c>
      <c r="BQ145" s="1">
        <v>197</v>
      </c>
      <c r="BR145" s="34">
        <v>22.636701576441016</v>
      </c>
      <c r="BS145" s="1">
        <v>17</v>
      </c>
      <c r="BT145" s="34">
        <v>85.649396698900603</v>
      </c>
      <c r="BU145" s="1">
        <v>82</v>
      </c>
      <c r="BV145" s="34">
        <v>5.8631229853511302</v>
      </c>
      <c r="BW145" s="34"/>
      <c r="BZ145" s="34">
        <v>9.8620982406422655E-2</v>
      </c>
      <c r="CA145" s="34">
        <v>34.169340613340673</v>
      </c>
      <c r="CB145" s="34">
        <v>5.5245378421854854</v>
      </c>
      <c r="CC145" s="34">
        <v>14.02421879611977</v>
      </c>
      <c r="CD145" s="34">
        <v>2.095659882505104</v>
      </c>
      <c r="CE145" s="34">
        <v>10.379426344568733</v>
      </c>
      <c r="CF145" s="34">
        <v>3.3013158522477171</v>
      </c>
      <c r="CG145" s="34">
        <v>1.2613267512738942</v>
      </c>
      <c r="CH145" s="34">
        <v>3.72</v>
      </c>
      <c r="CI145" s="34">
        <v>0.69374138519438622</v>
      </c>
      <c r="CJ145" s="34">
        <v>4.0672956595607923</v>
      </c>
      <c r="CK145" s="34">
        <v>0.83929222811268633</v>
      </c>
      <c r="CL145" s="34">
        <v>2.3378037177299773</v>
      </c>
      <c r="CM145" s="34">
        <v>0.3300173967286319</v>
      </c>
      <c r="CN145" s="34">
        <v>2.1603638448516551</v>
      </c>
      <c r="CO145" s="34">
        <v>0.3266979109114248</v>
      </c>
      <c r="CP145" s="34">
        <v>2.2126172515508844</v>
      </c>
      <c r="CQ145" s="34">
        <v>0.36552415058024462</v>
      </c>
      <c r="CR145" s="34">
        <v>0.65991478786971647</v>
      </c>
      <c r="CS145" s="34">
        <v>0.39293795671950021</v>
      </c>
      <c r="CT145" s="34">
        <v>0.11760041622991646</v>
      </c>
    </row>
    <row r="146" spans="1:98">
      <c r="A146" s="1" t="s">
        <v>289</v>
      </c>
      <c r="B146" s="1" t="s">
        <v>290</v>
      </c>
      <c r="C146" s="35" t="s">
        <v>323</v>
      </c>
      <c r="D146" s="63">
        <v>67.22</v>
      </c>
      <c r="E146" s="63">
        <v>2.93</v>
      </c>
      <c r="F146" s="1" t="s">
        <v>308</v>
      </c>
      <c r="G146" s="1" t="s">
        <v>239</v>
      </c>
      <c r="I146" s="68"/>
      <c r="J146" s="1" t="s">
        <v>256</v>
      </c>
      <c r="K146" s="1" t="s">
        <v>52</v>
      </c>
      <c r="L146" s="1" t="s">
        <v>864</v>
      </c>
      <c r="M146" s="78" t="s">
        <v>862</v>
      </c>
      <c r="N146" s="78"/>
      <c r="P146" s="1" t="s">
        <v>399</v>
      </c>
      <c r="Q146" s="1" t="s">
        <v>403</v>
      </c>
      <c r="R146" s="4">
        <v>49.17</v>
      </c>
      <c r="S146" s="4">
        <v>1.5269999999999999</v>
      </c>
      <c r="T146" s="4">
        <v>16.274000000000001</v>
      </c>
      <c r="U146" s="4">
        <v>6.258</v>
      </c>
      <c r="V146" s="4">
        <v>3.63</v>
      </c>
      <c r="W146" s="4">
        <v>0.21</v>
      </c>
      <c r="X146" s="4">
        <v>8.0730000000000004</v>
      </c>
      <c r="Y146" s="4">
        <v>8.6449999999999996</v>
      </c>
      <c r="Z146" s="4">
        <v>2.98</v>
      </c>
      <c r="AA146" s="4">
        <v>0.36099999999999999</v>
      </c>
      <c r="AB146" s="4">
        <v>0.156</v>
      </c>
      <c r="AC146" s="67">
        <v>2.1040000000000001</v>
      </c>
      <c r="AD146" s="23">
        <f t="shared" si="154"/>
        <v>99.388000000000005</v>
      </c>
      <c r="AE146" s="21">
        <f t="shared" si="155"/>
        <v>9.255942000000001</v>
      </c>
      <c r="AF146" s="23">
        <f t="shared" si="156"/>
        <v>0.60859377971387962</v>
      </c>
      <c r="AH146" s="16">
        <f t="shared" si="157"/>
        <v>50.542740841248303</v>
      </c>
      <c r="AI146" s="16">
        <f t="shared" si="158"/>
        <v>1.5696311829283334</v>
      </c>
      <c r="AJ146" s="16">
        <f t="shared" si="159"/>
        <v>16.728341762263064</v>
      </c>
      <c r="AK146" s="16">
        <f t="shared" si="160"/>
        <v>6.4327124707043284</v>
      </c>
      <c r="AL146" s="16">
        <f t="shared" si="161"/>
        <v>3.7313432835820892</v>
      </c>
      <c r="AM146" s="16">
        <f t="shared" si="162"/>
        <v>0.21586283458739361</v>
      </c>
      <c r="AN146" s="16">
        <f t="shared" si="163"/>
        <v>8.2983841124953752</v>
      </c>
      <c r="AO146" s="16">
        <f t="shared" si="164"/>
        <v>8.8863533571810365</v>
      </c>
      <c r="AP146" s="16">
        <f t="shared" si="165"/>
        <v>3.063196414621109</v>
      </c>
      <c r="AQ146" s="16">
        <f t="shared" si="166"/>
        <v>0.37107849183832903</v>
      </c>
      <c r="AR146" s="16">
        <f t="shared" si="167"/>
        <v>0.16035524855063524</v>
      </c>
      <c r="AS146" s="16">
        <f t="shared" si="168"/>
        <v>99.999999999999986</v>
      </c>
      <c r="AT146" s="16">
        <f t="shared" si="169"/>
        <v>9.5143517947452807</v>
      </c>
      <c r="AV146" s="1" t="s">
        <v>402</v>
      </c>
      <c r="AY146" s="34"/>
      <c r="AZ146" s="34"/>
      <c r="BA146" s="6">
        <v>310</v>
      </c>
      <c r="BB146" s="34"/>
      <c r="BC146" s="6">
        <v>125</v>
      </c>
      <c r="BD146" s="34"/>
      <c r="BE146" s="34"/>
      <c r="BF146" s="34"/>
      <c r="BG146" s="6">
        <v>79</v>
      </c>
      <c r="BH146" s="34"/>
      <c r="BI146" s="6">
        <v>165</v>
      </c>
      <c r="BJ146" s="34"/>
      <c r="BK146" s="6">
        <v>109</v>
      </c>
      <c r="BN146" s="34"/>
      <c r="BO146" s="34"/>
      <c r="BP146" s="34"/>
      <c r="BQ146" s="1">
        <v>172</v>
      </c>
      <c r="BR146" s="34"/>
      <c r="BS146" s="1">
        <v>13</v>
      </c>
      <c r="BT146" s="34"/>
      <c r="BU146" s="1">
        <v>108</v>
      </c>
      <c r="BV146" s="34"/>
      <c r="BW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</row>
    <row r="147" spans="1:98">
      <c r="A147" s="1" t="s">
        <v>289</v>
      </c>
      <c r="B147" s="1" t="s">
        <v>290</v>
      </c>
      <c r="C147" s="8" t="s">
        <v>324</v>
      </c>
      <c r="D147" s="63">
        <v>67.22</v>
      </c>
      <c r="E147" s="63">
        <v>2.93</v>
      </c>
      <c r="F147" s="1" t="s">
        <v>308</v>
      </c>
      <c r="G147" s="36" t="s">
        <v>206</v>
      </c>
      <c r="H147" s="36"/>
      <c r="I147" s="68">
        <f>516.98+0.3</f>
        <v>517.28</v>
      </c>
      <c r="J147" s="1" t="s">
        <v>256</v>
      </c>
      <c r="K147" s="1" t="s">
        <v>52</v>
      </c>
      <c r="L147" s="1" t="s">
        <v>864</v>
      </c>
      <c r="M147" s="78" t="s">
        <v>862</v>
      </c>
      <c r="N147" s="78"/>
      <c r="P147" s="1" t="s">
        <v>399</v>
      </c>
      <c r="Q147" s="1" t="s">
        <v>403</v>
      </c>
      <c r="R147" s="4">
        <v>49.003</v>
      </c>
      <c r="S147" s="4">
        <v>1.51</v>
      </c>
      <c r="T147" s="4">
        <v>15.385</v>
      </c>
      <c r="U147" s="4">
        <v>5.48</v>
      </c>
      <c r="V147" s="4">
        <v>6.3</v>
      </c>
      <c r="W147" s="4">
        <v>0.184</v>
      </c>
      <c r="X147" s="4">
        <v>6.75</v>
      </c>
      <c r="Y147" s="4">
        <v>11.542999999999999</v>
      </c>
      <c r="Z147" s="4">
        <v>2.4700000000000002</v>
      </c>
      <c r="AA147" s="4">
        <v>9.2999999999999999E-2</v>
      </c>
      <c r="AB147" s="4">
        <v>0.151</v>
      </c>
      <c r="AC147" s="67">
        <v>1.081</v>
      </c>
      <c r="AD147" s="23">
        <f t="shared" si="154"/>
        <v>99.95</v>
      </c>
      <c r="AE147" s="21">
        <f t="shared" si="155"/>
        <v>11.226520000000001</v>
      </c>
      <c r="AF147" s="23">
        <f t="shared" si="156"/>
        <v>0.51734536219432581</v>
      </c>
      <c r="AH147" s="16">
        <f t="shared" si="157"/>
        <v>49.563563907797189</v>
      </c>
      <c r="AI147" s="16">
        <f t="shared" si="158"/>
        <v>1.5272734628650031</v>
      </c>
      <c r="AJ147" s="16">
        <f t="shared" si="159"/>
        <v>15.560994851773559</v>
      </c>
      <c r="AK147" s="16">
        <f t="shared" si="160"/>
        <v>5.5426877990067664</v>
      </c>
      <c r="AL147" s="16">
        <f t="shared" si="161"/>
        <v>6.3720680900990203</v>
      </c>
      <c r="AM147" s="16">
        <f t="shared" si="162"/>
        <v>0.18610484580606659</v>
      </c>
      <c r="AN147" s="16">
        <f t="shared" si="163"/>
        <v>6.8272158108203786</v>
      </c>
      <c r="AO147" s="16">
        <f t="shared" si="164"/>
        <v>11.675044756192538</v>
      </c>
      <c r="AP147" s="16">
        <f t="shared" si="165"/>
        <v>2.4982552670705682</v>
      </c>
      <c r="AQ147" s="16">
        <f t="shared" si="166"/>
        <v>9.4063862282414104E-2</v>
      </c>
      <c r="AR147" s="16">
        <f t="shared" si="167"/>
        <v>0.15272734628650031</v>
      </c>
      <c r="AS147" s="16">
        <f t="shared" si="168"/>
        <v>100</v>
      </c>
      <c r="AT147" s="16">
        <f t="shared" si="169"/>
        <v>11.354944421406103</v>
      </c>
      <c r="AV147" s="1" t="s">
        <v>402</v>
      </c>
      <c r="AY147" s="34">
        <v>36.589318274751747</v>
      </c>
      <c r="AZ147" s="34">
        <v>333.9187256530256</v>
      </c>
      <c r="BA147" s="6">
        <v>332</v>
      </c>
      <c r="BB147" s="34">
        <v>82.580322691615081</v>
      </c>
      <c r="BC147" s="6">
        <v>112</v>
      </c>
      <c r="BD147" s="34">
        <v>46.016609573046757</v>
      </c>
      <c r="BE147" s="34"/>
      <c r="BF147" s="34">
        <v>64.551641713905539</v>
      </c>
      <c r="BG147" s="6">
        <v>74</v>
      </c>
      <c r="BH147" s="34">
        <v>119.16291769125878</v>
      </c>
      <c r="BI147" s="6">
        <v>121</v>
      </c>
      <c r="BJ147" s="34">
        <v>97.363442697464265</v>
      </c>
      <c r="BK147" s="6">
        <v>94</v>
      </c>
      <c r="BN147" s="34">
        <v>0.29219999776320243</v>
      </c>
      <c r="BO147" s="34"/>
      <c r="BP147" s="34">
        <v>159.04316987126219</v>
      </c>
      <c r="BQ147" s="1">
        <v>159</v>
      </c>
      <c r="BR147" s="34">
        <v>27.669888086025583</v>
      </c>
      <c r="BS147" s="1">
        <v>25</v>
      </c>
      <c r="BT147" s="34">
        <v>78.099099873919258</v>
      </c>
      <c r="BU147" s="1">
        <v>82</v>
      </c>
      <c r="BV147" s="34">
        <v>4.6423065228199007</v>
      </c>
      <c r="BW147" s="34"/>
      <c r="BZ147" s="34">
        <v>9.8893915187394252E-2</v>
      </c>
      <c r="CA147" s="34">
        <v>25.999289341135793</v>
      </c>
      <c r="CB147" s="34">
        <v>4.6226311882671682</v>
      </c>
      <c r="CC147" s="34">
        <v>11.968746060353068</v>
      </c>
      <c r="CD147" s="34">
        <v>1.861294136347893</v>
      </c>
      <c r="CE147" s="34">
        <v>9.9556580565145971</v>
      </c>
      <c r="CF147" s="34">
        <v>3.1955696693776976</v>
      </c>
      <c r="CG147" s="34">
        <v>1.1898365629120073</v>
      </c>
      <c r="CH147" s="34">
        <v>3.84</v>
      </c>
      <c r="CI147" s="34">
        <v>0.73364128643256132</v>
      </c>
      <c r="CJ147" s="34">
        <v>4.4079864790607273</v>
      </c>
      <c r="CK147" s="34">
        <v>0.96961891432982705</v>
      </c>
      <c r="CL147" s="34">
        <v>2.7235545448199971</v>
      </c>
      <c r="CM147" s="34">
        <v>0.38189833321403893</v>
      </c>
      <c r="CN147" s="34">
        <v>2.5509984364807194</v>
      </c>
      <c r="CO147" s="34">
        <v>0.39435912033239023</v>
      </c>
      <c r="CP147" s="34">
        <v>2.0352862579124849</v>
      </c>
      <c r="CQ147" s="34">
        <v>0.27417680531519967</v>
      </c>
      <c r="CR147" s="34">
        <v>0.56606130656338838</v>
      </c>
      <c r="CS147" s="34">
        <v>0.2771179976702885</v>
      </c>
      <c r="CT147" s="34">
        <v>0.10532762047362648</v>
      </c>
    </row>
    <row r="148" spans="1:98">
      <c r="A148" s="1" t="s">
        <v>289</v>
      </c>
      <c r="B148" s="1" t="s">
        <v>290</v>
      </c>
      <c r="C148" s="35" t="s">
        <v>325</v>
      </c>
      <c r="D148" s="63">
        <v>67.22</v>
      </c>
      <c r="E148" s="63">
        <v>2.93</v>
      </c>
      <c r="F148" s="1" t="s">
        <v>308</v>
      </c>
      <c r="G148" s="1" t="s">
        <v>297</v>
      </c>
      <c r="I148" s="68">
        <f>524.09+0.2</f>
        <v>524.29000000000008</v>
      </c>
      <c r="J148" s="1" t="s">
        <v>256</v>
      </c>
      <c r="K148" s="1" t="s">
        <v>52</v>
      </c>
      <c r="L148" s="1" t="s">
        <v>864</v>
      </c>
      <c r="M148" s="78" t="s">
        <v>862</v>
      </c>
      <c r="N148" s="78"/>
      <c r="P148" s="1" t="s">
        <v>399</v>
      </c>
      <c r="Q148" s="1" t="s">
        <v>403</v>
      </c>
      <c r="R148" s="4">
        <v>48.893000000000001</v>
      </c>
      <c r="S148" s="4">
        <v>2.1080000000000001</v>
      </c>
      <c r="T148" s="4">
        <v>14.766999999999999</v>
      </c>
      <c r="U148" s="4">
        <v>9.3759999999999994</v>
      </c>
      <c r="V148" s="4">
        <v>3.63</v>
      </c>
      <c r="W148" s="4">
        <v>0.127</v>
      </c>
      <c r="X148" s="4">
        <v>7.4210000000000003</v>
      </c>
      <c r="Y148" s="4">
        <v>6.5140000000000002</v>
      </c>
      <c r="Z148" s="4">
        <v>2.84</v>
      </c>
      <c r="AA148" s="4">
        <v>1.012</v>
      </c>
      <c r="AB148" s="4">
        <v>0.34</v>
      </c>
      <c r="AC148" s="67">
        <v>2.6739999999999999</v>
      </c>
      <c r="AD148" s="23">
        <f t="shared" si="154"/>
        <v>99.702000000000012</v>
      </c>
      <c r="AE148" s="21">
        <f t="shared" si="155"/>
        <v>12.059024000000001</v>
      </c>
      <c r="AF148" s="23">
        <f t="shared" si="156"/>
        <v>0.52314499540656223</v>
      </c>
      <c r="AH148" s="16">
        <f t="shared" si="157"/>
        <v>50.390608896401041</v>
      </c>
      <c r="AI148" s="16">
        <f t="shared" si="158"/>
        <v>2.1725687430432452</v>
      </c>
      <c r="AJ148" s="16">
        <f t="shared" si="159"/>
        <v>15.219318134971347</v>
      </c>
      <c r="AK148" s="16">
        <f t="shared" si="160"/>
        <v>9.6631900070082839</v>
      </c>
      <c r="AL148" s="16">
        <f t="shared" si="161"/>
        <v>3.7411881106484723</v>
      </c>
      <c r="AM148" s="16">
        <f t="shared" si="162"/>
        <v>0.13089005235602091</v>
      </c>
      <c r="AN148" s="16">
        <f t="shared" si="163"/>
        <v>7.6483077049923729</v>
      </c>
      <c r="AO148" s="16">
        <f t="shared" si="164"/>
        <v>6.7135259924970105</v>
      </c>
      <c r="AP148" s="16">
        <f t="shared" si="165"/>
        <v>2.9269901471740116</v>
      </c>
      <c r="AQ148" s="16">
        <f t="shared" si="166"/>
        <v>1.0429978975141196</v>
      </c>
      <c r="AR148" s="16">
        <f t="shared" si="167"/>
        <v>0.35041431339407181</v>
      </c>
      <c r="AS148" s="16">
        <f t="shared" si="168"/>
        <v>99.999999999999986</v>
      </c>
      <c r="AT148" s="16">
        <f t="shared" si="169"/>
        <v>12.428395926948919</v>
      </c>
      <c r="AV148" s="1" t="s">
        <v>402</v>
      </c>
      <c r="AY148" s="34"/>
      <c r="AZ148" s="34"/>
      <c r="BA148" s="6">
        <v>345</v>
      </c>
      <c r="BB148" s="34"/>
      <c r="BC148" s="6">
        <v>175</v>
      </c>
      <c r="BD148" s="34"/>
      <c r="BE148" s="34"/>
      <c r="BF148" s="34"/>
      <c r="BG148" s="6">
        <v>79</v>
      </c>
      <c r="BH148" s="34"/>
      <c r="BI148" s="6">
        <v>105</v>
      </c>
      <c r="BJ148" s="34"/>
      <c r="BK148" s="6">
        <v>101</v>
      </c>
      <c r="BN148" s="34"/>
      <c r="BO148" s="34"/>
      <c r="BP148" s="34"/>
      <c r="BQ148" s="1">
        <v>197</v>
      </c>
      <c r="BR148" s="34"/>
      <c r="BS148" s="1">
        <v>32</v>
      </c>
      <c r="BT148" s="34"/>
      <c r="BU148" s="1">
        <v>164</v>
      </c>
      <c r="BV148" s="34"/>
      <c r="BW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</row>
    <row r="149" spans="1:98">
      <c r="A149" s="1" t="s">
        <v>289</v>
      </c>
      <c r="B149" s="1" t="s">
        <v>290</v>
      </c>
      <c r="C149" s="35" t="s">
        <v>326</v>
      </c>
      <c r="D149" s="63">
        <v>67.22</v>
      </c>
      <c r="E149" s="63">
        <v>2.93</v>
      </c>
      <c r="F149" s="1" t="s">
        <v>308</v>
      </c>
      <c r="G149" s="1" t="s">
        <v>205</v>
      </c>
      <c r="I149" s="68">
        <f>525.51+0.18</f>
        <v>525.68999999999994</v>
      </c>
      <c r="J149" s="1" t="s">
        <v>256</v>
      </c>
      <c r="K149" s="1" t="s">
        <v>52</v>
      </c>
      <c r="L149" s="1" t="s">
        <v>864</v>
      </c>
      <c r="M149" s="78" t="s">
        <v>862</v>
      </c>
      <c r="N149" s="78"/>
      <c r="P149" s="1" t="s">
        <v>399</v>
      </c>
      <c r="Q149" s="1" t="s">
        <v>403</v>
      </c>
      <c r="R149" s="4">
        <v>48.774000000000001</v>
      </c>
      <c r="S149" s="4">
        <v>2.286</v>
      </c>
      <c r="T149" s="4">
        <v>13.922000000000001</v>
      </c>
      <c r="U149" s="4">
        <v>6.5860000000000003</v>
      </c>
      <c r="V149" s="4">
        <v>6.17</v>
      </c>
      <c r="W149" s="4">
        <v>0.17100000000000001</v>
      </c>
      <c r="X149" s="4">
        <v>7.2880000000000003</v>
      </c>
      <c r="Y149" s="4">
        <v>10.215999999999999</v>
      </c>
      <c r="Z149" s="4">
        <v>2.84</v>
      </c>
      <c r="AA149" s="4">
        <v>0.253</v>
      </c>
      <c r="AB149" s="4">
        <v>0.22500000000000001</v>
      </c>
      <c r="AC149" s="67">
        <v>1.347</v>
      </c>
      <c r="AD149" s="23">
        <f t="shared" si="154"/>
        <v>100.07799999999999</v>
      </c>
      <c r="AE149" s="21">
        <f t="shared" si="155"/>
        <v>12.090814</v>
      </c>
      <c r="AF149" s="23">
        <f t="shared" si="156"/>
        <v>0.5179744515557928</v>
      </c>
      <c r="AH149" s="16">
        <f t="shared" si="157"/>
        <v>49.400897387851842</v>
      </c>
      <c r="AI149" s="16">
        <f t="shared" si="158"/>
        <v>2.3153822001195166</v>
      </c>
      <c r="AJ149" s="16">
        <f t="shared" si="159"/>
        <v>14.100940940535395</v>
      </c>
      <c r="AK149" s="16">
        <f t="shared" si="160"/>
        <v>6.6706505555499289</v>
      </c>
      <c r="AL149" s="16">
        <f t="shared" si="161"/>
        <v>6.2493036634896848</v>
      </c>
      <c r="AM149" s="16">
        <f t="shared" si="162"/>
        <v>0.17319788111130247</v>
      </c>
      <c r="AN149" s="16">
        <f t="shared" si="163"/>
        <v>7.3816734359015923</v>
      </c>
      <c r="AO149" s="16">
        <f t="shared" si="164"/>
        <v>10.347307330017927</v>
      </c>
      <c r="AP149" s="16">
        <f t="shared" si="165"/>
        <v>2.8765028207959</v>
      </c>
      <c r="AQ149" s="16">
        <f t="shared" si="166"/>
        <v>0.25625183579625449</v>
      </c>
      <c r="AR149" s="16">
        <f t="shared" si="167"/>
        <v>0.22789194883066111</v>
      </c>
      <c r="AS149" s="16">
        <f t="shared" si="168"/>
        <v>100</v>
      </c>
      <c r="AT149" s="16">
        <f t="shared" si="169"/>
        <v>12.246218512929071</v>
      </c>
      <c r="AV149" s="1" t="s">
        <v>402</v>
      </c>
      <c r="AY149" s="34"/>
      <c r="AZ149" s="34"/>
      <c r="BA149" s="6">
        <v>391</v>
      </c>
      <c r="BB149" s="34"/>
      <c r="BC149" s="6">
        <v>158</v>
      </c>
      <c r="BD149" s="34"/>
      <c r="BE149" s="34"/>
      <c r="BF149" s="34"/>
      <c r="BG149" s="6">
        <v>63</v>
      </c>
      <c r="BH149" s="34"/>
      <c r="BI149" s="6">
        <v>192</v>
      </c>
      <c r="BJ149" s="34"/>
      <c r="BK149" s="6">
        <v>99</v>
      </c>
      <c r="BN149" s="34"/>
      <c r="BO149" s="34"/>
      <c r="BP149" s="34"/>
      <c r="BQ149" s="1">
        <v>188</v>
      </c>
      <c r="BR149" s="34"/>
      <c r="BS149" s="1">
        <v>30</v>
      </c>
      <c r="BT149" s="34"/>
      <c r="BU149" s="1">
        <v>164</v>
      </c>
      <c r="BV149" s="34"/>
      <c r="BW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</row>
    <row r="150" spans="1:98">
      <c r="A150" s="1" t="s">
        <v>289</v>
      </c>
      <c r="B150" s="1" t="s">
        <v>290</v>
      </c>
      <c r="C150" s="8" t="s">
        <v>327</v>
      </c>
      <c r="D150" s="63">
        <v>67.22</v>
      </c>
      <c r="E150" s="63">
        <v>2.93</v>
      </c>
      <c r="F150" s="1" t="s">
        <v>308</v>
      </c>
      <c r="G150" s="36" t="s">
        <v>231</v>
      </c>
      <c r="H150" s="36"/>
      <c r="I150" s="68">
        <f>531.5+0.4</f>
        <v>531.9</v>
      </c>
      <c r="J150" s="1" t="s">
        <v>256</v>
      </c>
      <c r="K150" s="1" t="s">
        <v>52</v>
      </c>
      <c r="L150" s="1" t="s">
        <v>864</v>
      </c>
      <c r="M150" s="78" t="s">
        <v>862</v>
      </c>
      <c r="N150" s="78"/>
      <c r="P150" s="1" t="s">
        <v>399</v>
      </c>
      <c r="Q150" s="1" t="s">
        <v>403</v>
      </c>
      <c r="R150" s="4">
        <v>48.828000000000003</v>
      </c>
      <c r="S150" s="4">
        <v>1.9379999999999999</v>
      </c>
      <c r="T150" s="4">
        <v>14.574</v>
      </c>
      <c r="U150" s="4">
        <v>6.2779999999999996</v>
      </c>
      <c r="V150" s="4">
        <v>5.19</v>
      </c>
      <c r="W150" s="4">
        <v>0.20599999999999999</v>
      </c>
      <c r="X150" s="4">
        <v>8.0399999999999991</v>
      </c>
      <c r="Y150" s="4">
        <v>9.8919999999999995</v>
      </c>
      <c r="Z150" s="4">
        <v>2.87</v>
      </c>
      <c r="AA150" s="4">
        <v>0.22600000000000001</v>
      </c>
      <c r="AB150" s="4">
        <v>0.182</v>
      </c>
      <c r="AC150" s="67">
        <v>1.6080000000000001</v>
      </c>
      <c r="AD150" s="23">
        <f t="shared" si="154"/>
        <v>99.832000000000008</v>
      </c>
      <c r="AE150" s="21">
        <f t="shared" si="155"/>
        <v>10.833922000000001</v>
      </c>
      <c r="AF150" s="23">
        <f t="shared" si="156"/>
        <v>0.56951988788567054</v>
      </c>
      <c r="AH150" s="16">
        <f t="shared" si="157"/>
        <v>49.710864961720148</v>
      </c>
      <c r="AI150" s="16">
        <f t="shared" si="158"/>
        <v>1.9730412119237659</v>
      </c>
      <c r="AJ150" s="16">
        <f t="shared" si="159"/>
        <v>14.837514253135691</v>
      </c>
      <c r="AK150" s="16">
        <f t="shared" si="160"/>
        <v>6.3915132757778137</v>
      </c>
      <c r="AL150" s="16">
        <f t="shared" si="161"/>
        <v>5.2838410164521905</v>
      </c>
      <c r="AM150" s="16">
        <f t="shared" si="162"/>
        <v>0.20972471086496169</v>
      </c>
      <c r="AN150" s="16">
        <f t="shared" si="163"/>
        <v>8.1853722104577287</v>
      </c>
      <c r="AO150" s="16">
        <f t="shared" si="164"/>
        <v>10.070858446000976</v>
      </c>
      <c r="AP150" s="16">
        <f t="shared" si="165"/>
        <v>2.9218928164196121</v>
      </c>
      <c r="AQ150" s="16">
        <f t="shared" si="166"/>
        <v>0.23008633327903569</v>
      </c>
      <c r="AR150" s="16">
        <f t="shared" si="167"/>
        <v>0.18529076396807295</v>
      </c>
      <c r="AS150" s="16">
        <f t="shared" si="168"/>
        <v>99.999999999999972</v>
      </c>
      <c r="AT150" s="16">
        <f t="shared" si="169"/>
        <v>11.029811451376446</v>
      </c>
      <c r="AV150" s="1" t="s">
        <v>402</v>
      </c>
      <c r="AY150" s="34">
        <v>37.776396831484639</v>
      </c>
      <c r="AZ150" s="34">
        <v>339.55405609787493</v>
      </c>
      <c r="BA150" s="6">
        <v>349</v>
      </c>
      <c r="BB150" s="34">
        <v>185.65762393557691</v>
      </c>
      <c r="BC150" s="6">
        <v>183</v>
      </c>
      <c r="BD150" s="34">
        <v>43.334459681570046</v>
      </c>
      <c r="BE150" s="34"/>
      <c r="BF150" s="34">
        <v>70.398125078106929</v>
      </c>
      <c r="BG150" s="6">
        <v>80</v>
      </c>
      <c r="BH150" s="34">
        <v>106.25942197053662</v>
      </c>
      <c r="BI150" s="6">
        <v>111</v>
      </c>
      <c r="BJ150" s="34">
        <v>115.09005473942828</v>
      </c>
      <c r="BK150" s="6">
        <v>115</v>
      </c>
      <c r="BN150" s="34">
        <v>1.0854760214180867</v>
      </c>
      <c r="BO150" s="34"/>
      <c r="BP150" s="34">
        <v>182.96984410842757</v>
      </c>
      <c r="BQ150" s="1">
        <v>187</v>
      </c>
      <c r="BR150" s="34">
        <v>31.382314412899532</v>
      </c>
      <c r="BS150" s="1">
        <v>26</v>
      </c>
      <c r="BT150" s="34">
        <v>110.22168704573728</v>
      </c>
      <c r="BU150" s="1">
        <v>110</v>
      </c>
      <c r="BV150" s="34">
        <v>6.9227842749043456</v>
      </c>
      <c r="BW150" s="34"/>
      <c r="BZ150" s="34">
        <v>0.11557904510297855</v>
      </c>
      <c r="CA150" s="34">
        <v>41.472541071175556</v>
      </c>
      <c r="CB150" s="34">
        <v>7.2398545141907782</v>
      </c>
      <c r="CC150" s="34">
        <v>18.065912353866327</v>
      </c>
      <c r="CD150" s="34">
        <v>2.6856369284928054</v>
      </c>
      <c r="CE150" s="34">
        <v>13.649235354801034</v>
      </c>
      <c r="CF150" s="34">
        <v>4.2475460517423276</v>
      </c>
      <c r="CG150" s="34">
        <v>1.436321458006862</v>
      </c>
      <c r="CH150" s="34">
        <v>4.59</v>
      </c>
      <c r="CI150" s="34">
        <v>0.89322304485661241</v>
      </c>
      <c r="CJ150" s="34">
        <v>5.1097972242722314</v>
      </c>
      <c r="CK150" s="34">
        <v>1.1103949436965042</v>
      </c>
      <c r="CL150" s="34">
        <v>3.0313528120436004</v>
      </c>
      <c r="CM150" s="34">
        <v>0.41083373334844114</v>
      </c>
      <c r="CN150" s="34">
        <v>2.5854377917694435</v>
      </c>
      <c r="CO150" s="34">
        <v>0.38712194087247181</v>
      </c>
      <c r="CP150" s="34">
        <v>2.828193532561956</v>
      </c>
      <c r="CQ150" s="34">
        <v>0.40706366154986218</v>
      </c>
      <c r="CR150" s="34">
        <v>0.93482636435938671</v>
      </c>
      <c r="CS150" s="34">
        <v>0.66098465906565906</v>
      </c>
      <c r="CT150" s="34">
        <v>0.19946173655656163</v>
      </c>
    </row>
    <row r="151" spans="1:98">
      <c r="A151" s="1" t="s">
        <v>289</v>
      </c>
      <c r="B151" s="1" t="s">
        <v>290</v>
      </c>
      <c r="C151" s="35" t="s">
        <v>328</v>
      </c>
      <c r="D151" s="63">
        <v>67.22</v>
      </c>
      <c r="E151" s="63">
        <v>2.93</v>
      </c>
      <c r="F151" s="1" t="s">
        <v>308</v>
      </c>
      <c r="G151" s="1" t="s">
        <v>187</v>
      </c>
      <c r="I151" s="68">
        <f>545.78+0.89</f>
        <v>546.66999999999996</v>
      </c>
      <c r="J151" s="1" t="s">
        <v>256</v>
      </c>
      <c r="K151" s="1" t="s">
        <v>52</v>
      </c>
      <c r="L151" s="1" t="s">
        <v>864</v>
      </c>
      <c r="M151" s="78" t="s">
        <v>862</v>
      </c>
      <c r="N151" s="78"/>
      <c r="P151" s="1" t="s">
        <v>399</v>
      </c>
      <c r="Q151" s="1" t="s">
        <v>403</v>
      </c>
      <c r="R151" s="4">
        <v>48.026000000000003</v>
      </c>
      <c r="S151" s="4">
        <v>1.976</v>
      </c>
      <c r="T151" s="4">
        <v>13.12</v>
      </c>
      <c r="U151" s="4">
        <v>10.92</v>
      </c>
      <c r="V151" s="4">
        <v>3.5</v>
      </c>
      <c r="W151" s="4">
        <v>0.105</v>
      </c>
      <c r="X151" s="4">
        <v>9.0449999999999999</v>
      </c>
      <c r="Y151" s="4">
        <v>7.5119999999999996</v>
      </c>
      <c r="Z151" s="4">
        <v>2.78</v>
      </c>
      <c r="AA151" s="4">
        <v>0.47699999999999998</v>
      </c>
      <c r="AB151" s="4">
        <v>0.156</v>
      </c>
      <c r="AC151" s="67">
        <v>2.2599999999999998</v>
      </c>
      <c r="AD151" s="23">
        <f t="shared" si="154"/>
        <v>99.877000000000024</v>
      </c>
      <c r="AE151" s="21">
        <f t="shared" si="155"/>
        <v>13.317080000000001</v>
      </c>
      <c r="AF151" s="23">
        <f t="shared" si="156"/>
        <v>0.54768224165942425</v>
      </c>
      <c r="AH151" s="16">
        <f t="shared" si="157"/>
        <v>49.198397820051831</v>
      </c>
      <c r="AI151" s="16">
        <f t="shared" si="158"/>
        <v>2.0242375815687836</v>
      </c>
      <c r="AJ151" s="16">
        <f t="shared" si="159"/>
        <v>13.440281918108523</v>
      </c>
      <c r="AK151" s="16">
        <f t="shared" si="160"/>
        <v>11.186576108669595</v>
      </c>
      <c r="AL151" s="16">
        <f t="shared" si="161"/>
        <v>3.5854410604710236</v>
      </c>
      <c r="AM151" s="16">
        <f t="shared" si="162"/>
        <v>0.10756323181413072</v>
      </c>
      <c r="AN151" s="16">
        <f t="shared" si="163"/>
        <v>9.2658041119886896</v>
      </c>
      <c r="AO151" s="16">
        <f t="shared" si="164"/>
        <v>7.6953809275023799</v>
      </c>
      <c r="AP151" s="16">
        <f t="shared" si="165"/>
        <v>2.8478646137455561</v>
      </c>
      <c r="AQ151" s="16">
        <f t="shared" si="166"/>
        <v>0.48864439595562237</v>
      </c>
      <c r="AR151" s="16">
        <f t="shared" si="167"/>
        <v>0.15980823012385134</v>
      </c>
      <c r="AS151" s="16">
        <f t="shared" si="168"/>
        <v>99.999999999999986</v>
      </c>
      <c r="AT151" s="16">
        <f t="shared" si="169"/>
        <v>13.64217298216499</v>
      </c>
      <c r="AV151" s="1" t="s">
        <v>402</v>
      </c>
      <c r="AY151" s="34"/>
      <c r="AZ151" s="34"/>
      <c r="BA151" s="6">
        <v>319</v>
      </c>
      <c r="BB151" s="34"/>
      <c r="BC151" s="6">
        <v>266</v>
      </c>
      <c r="BD151" s="34"/>
      <c r="BE151" s="34"/>
      <c r="BF151" s="34"/>
      <c r="BG151" s="6">
        <v>85</v>
      </c>
      <c r="BH151" s="34"/>
      <c r="BI151" s="6">
        <v>161</v>
      </c>
      <c r="BJ151" s="34"/>
      <c r="BK151" s="6">
        <v>94</v>
      </c>
      <c r="BN151" s="34"/>
      <c r="BO151" s="34"/>
      <c r="BP151" s="34"/>
      <c r="BQ151" s="1">
        <v>175</v>
      </c>
      <c r="BR151" s="34"/>
      <c r="BS151" s="1">
        <v>24</v>
      </c>
      <c r="BT151" s="34"/>
      <c r="BU151" s="1">
        <v>162</v>
      </c>
      <c r="BV151" s="34"/>
      <c r="BW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</row>
    <row r="152" spans="1:98">
      <c r="A152" s="1" t="s">
        <v>289</v>
      </c>
      <c r="B152" s="1" t="s">
        <v>290</v>
      </c>
      <c r="C152" s="35" t="s">
        <v>329</v>
      </c>
      <c r="D152" s="63">
        <v>67.22</v>
      </c>
      <c r="E152" s="63">
        <v>2.93</v>
      </c>
      <c r="F152" s="1" t="s">
        <v>308</v>
      </c>
      <c r="G152" s="1" t="s">
        <v>170</v>
      </c>
      <c r="I152" s="68">
        <f>584.99+0.78</f>
        <v>585.77</v>
      </c>
      <c r="J152" s="1" t="s">
        <v>256</v>
      </c>
      <c r="K152" s="1" t="s">
        <v>52</v>
      </c>
      <c r="L152" s="1" t="s">
        <v>864</v>
      </c>
      <c r="M152" s="78" t="s">
        <v>862</v>
      </c>
      <c r="N152" s="78"/>
      <c r="P152" s="1" t="s">
        <v>399</v>
      </c>
      <c r="Q152" s="1" t="s">
        <v>403</v>
      </c>
      <c r="R152" s="4">
        <v>48.793999999999997</v>
      </c>
      <c r="S152" s="4">
        <v>2.37</v>
      </c>
      <c r="T152" s="4">
        <v>14.132</v>
      </c>
      <c r="U152" s="4">
        <v>5.9160000000000004</v>
      </c>
      <c r="V152" s="4">
        <v>6.13</v>
      </c>
      <c r="W152" s="4">
        <v>0.23300000000000001</v>
      </c>
      <c r="X152" s="4">
        <v>7.1479999999999997</v>
      </c>
      <c r="Y152" s="4">
        <v>10.038</v>
      </c>
      <c r="Z152" s="4">
        <v>2.77</v>
      </c>
      <c r="AA152" s="4">
        <v>0.22500000000000001</v>
      </c>
      <c r="AB152" s="4">
        <v>0.23699999999999999</v>
      </c>
      <c r="AC152" s="67">
        <v>1.212</v>
      </c>
      <c r="AD152" s="23">
        <f t="shared" si="154"/>
        <v>99.20499999999997</v>
      </c>
      <c r="AE152" s="21">
        <f t="shared" si="155"/>
        <v>11.448484000000001</v>
      </c>
      <c r="AF152" s="23">
        <f t="shared" si="156"/>
        <v>0.52675464865218991</v>
      </c>
      <c r="AH152" s="16">
        <f t="shared" si="157"/>
        <v>49.793352586409249</v>
      </c>
      <c r="AI152" s="16">
        <f t="shared" si="158"/>
        <v>2.4185400998030482</v>
      </c>
      <c r="AJ152" s="16">
        <f t="shared" si="159"/>
        <v>14.421438265998598</v>
      </c>
      <c r="AK152" s="16">
        <f t="shared" si="160"/>
        <v>6.0371659200146972</v>
      </c>
      <c r="AL152" s="16">
        <f t="shared" si="161"/>
        <v>6.2555488657353093</v>
      </c>
      <c r="AM152" s="16">
        <f t="shared" si="162"/>
        <v>0.23777208576122794</v>
      </c>
      <c r="AN152" s="16">
        <f t="shared" si="163"/>
        <v>7.2943985794903741</v>
      </c>
      <c r="AO152" s="16">
        <f t="shared" si="164"/>
        <v>10.243588827773417</v>
      </c>
      <c r="AP152" s="16">
        <f t="shared" si="165"/>
        <v>2.8267325217107353</v>
      </c>
      <c r="AQ152" s="16">
        <f t="shared" si="166"/>
        <v>0.22960823732307417</v>
      </c>
      <c r="AR152" s="16">
        <f t="shared" si="167"/>
        <v>0.24185400998030479</v>
      </c>
      <c r="AS152" s="16">
        <f t="shared" si="168"/>
        <v>100.00000000000004</v>
      </c>
      <c r="AT152" s="16">
        <f t="shared" si="169"/>
        <v>11.682961027828522</v>
      </c>
      <c r="AV152" s="1" t="s">
        <v>402</v>
      </c>
      <c r="AY152" s="34"/>
      <c r="AZ152" s="34"/>
      <c r="BA152" s="6">
        <v>349</v>
      </c>
      <c r="BB152" s="34"/>
      <c r="BC152" s="6">
        <v>166</v>
      </c>
      <c r="BD152" s="34"/>
      <c r="BE152" s="34"/>
      <c r="BF152" s="34"/>
      <c r="BG152" s="6">
        <v>74</v>
      </c>
      <c r="BH152" s="34"/>
      <c r="BI152" s="6">
        <v>143</v>
      </c>
      <c r="BJ152" s="34"/>
      <c r="BK152" s="6">
        <v>114</v>
      </c>
      <c r="BN152" s="34"/>
      <c r="BO152" s="34"/>
      <c r="BP152" s="34"/>
      <c r="BQ152" s="1">
        <v>188</v>
      </c>
      <c r="BR152" s="34"/>
      <c r="BS152" s="1">
        <v>25</v>
      </c>
      <c r="BT152" s="34"/>
      <c r="BU152" s="1">
        <v>173</v>
      </c>
      <c r="BV152" s="34"/>
      <c r="BW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</row>
    <row r="153" spans="1:98">
      <c r="A153" s="1" t="s">
        <v>289</v>
      </c>
      <c r="B153" s="1" t="s">
        <v>290</v>
      </c>
      <c r="C153" s="35" t="s">
        <v>331</v>
      </c>
      <c r="D153" s="63">
        <v>67.22</v>
      </c>
      <c r="E153" s="63">
        <v>2.93</v>
      </c>
      <c r="F153" s="1" t="s">
        <v>308</v>
      </c>
      <c r="G153" s="1" t="s">
        <v>190</v>
      </c>
      <c r="I153" s="68">
        <f>586.49+0.49</f>
        <v>586.98</v>
      </c>
      <c r="J153" s="1" t="s">
        <v>256</v>
      </c>
      <c r="K153" s="1" t="s">
        <v>52</v>
      </c>
      <c r="L153" s="1" t="s">
        <v>864</v>
      </c>
      <c r="M153" s="78" t="s">
        <v>862</v>
      </c>
      <c r="N153" s="78"/>
      <c r="P153" s="1" t="s">
        <v>399</v>
      </c>
      <c r="Q153" s="1" t="s">
        <v>403</v>
      </c>
      <c r="R153" s="4">
        <v>48.281999999999996</v>
      </c>
      <c r="S153" s="4">
        <v>1.964</v>
      </c>
      <c r="T153" s="4">
        <v>15.019</v>
      </c>
      <c r="U153" s="4">
        <v>7.53</v>
      </c>
      <c r="V153" s="4">
        <v>4.51</v>
      </c>
      <c r="W153" s="4">
        <v>0.13500000000000001</v>
      </c>
      <c r="X153" s="4">
        <v>6.9930000000000003</v>
      </c>
      <c r="Y153" s="4">
        <v>10.662000000000001</v>
      </c>
      <c r="Z153" s="4">
        <v>2.5299999999999998</v>
      </c>
      <c r="AA153" s="4">
        <v>0.20799999999999999</v>
      </c>
      <c r="AB153" s="4">
        <v>0.183</v>
      </c>
      <c r="AC153" s="67">
        <v>1.3320000000000001</v>
      </c>
      <c r="AD153" s="23">
        <f t="shared" si="154"/>
        <v>99.348000000000013</v>
      </c>
      <c r="AE153" s="21">
        <f t="shared" si="155"/>
        <v>11.27947</v>
      </c>
      <c r="AF153" s="23">
        <f t="shared" si="156"/>
        <v>0.5249968987198862</v>
      </c>
      <c r="AH153" s="16">
        <f t="shared" si="157"/>
        <v>49.259304603330058</v>
      </c>
      <c r="AI153" s="16">
        <f t="shared" si="158"/>
        <v>2.0037544890630099</v>
      </c>
      <c r="AJ153" s="16">
        <f t="shared" si="159"/>
        <v>15.323008488410053</v>
      </c>
      <c r="AK153" s="16">
        <f t="shared" si="160"/>
        <v>7.6824191968658164</v>
      </c>
      <c r="AL153" s="16">
        <f t="shared" si="161"/>
        <v>4.6012895853738156</v>
      </c>
      <c r="AM153" s="16">
        <f t="shared" si="162"/>
        <v>0.13773261508325169</v>
      </c>
      <c r="AN153" s="16">
        <f t="shared" si="163"/>
        <v>7.1345494613124378</v>
      </c>
      <c r="AO153" s="16">
        <f t="shared" si="164"/>
        <v>10.877815866797256</v>
      </c>
      <c r="AP153" s="16">
        <f t="shared" si="165"/>
        <v>2.581211230819457</v>
      </c>
      <c r="AQ153" s="16">
        <f t="shared" si="166"/>
        <v>0.21221025138752853</v>
      </c>
      <c r="AR153" s="16">
        <f t="shared" si="167"/>
        <v>0.18670421155729675</v>
      </c>
      <c r="AS153" s="16">
        <f t="shared" si="168"/>
        <v>100.00000000000001</v>
      </c>
      <c r="AT153" s="16">
        <f t="shared" si="169"/>
        <v>11.507784443356185</v>
      </c>
      <c r="AV153" s="1" t="s">
        <v>402</v>
      </c>
      <c r="AY153" s="34"/>
      <c r="AZ153" s="34"/>
      <c r="BA153" s="6">
        <v>331</v>
      </c>
      <c r="BB153" s="34"/>
      <c r="BC153" s="6">
        <v>157</v>
      </c>
      <c r="BD153" s="34"/>
      <c r="BE153" s="34"/>
      <c r="BF153" s="34"/>
      <c r="BG153" s="6">
        <v>73</v>
      </c>
      <c r="BH153" s="34"/>
      <c r="BI153" s="6">
        <v>87</v>
      </c>
      <c r="BJ153" s="34"/>
      <c r="BK153" s="6">
        <v>92</v>
      </c>
      <c r="BN153" s="34"/>
      <c r="BO153" s="34"/>
      <c r="BP153" s="34"/>
      <c r="BQ153" s="1">
        <v>193</v>
      </c>
      <c r="BR153" s="34"/>
      <c r="BS153" s="1">
        <v>23</v>
      </c>
      <c r="BT153" s="34"/>
      <c r="BU153" s="1">
        <v>146</v>
      </c>
      <c r="BV153" s="34"/>
      <c r="BW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</row>
    <row r="154" spans="1:98">
      <c r="A154" s="1" t="s">
        <v>289</v>
      </c>
      <c r="B154" s="1" t="s">
        <v>290</v>
      </c>
      <c r="C154" s="35" t="s">
        <v>333</v>
      </c>
      <c r="D154" s="63">
        <v>67.22</v>
      </c>
      <c r="E154" s="63">
        <v>2.93</v>
      </c>
      <c r="F154" s="1" t="s">
        <v>308</v>
      </c>
      <c r="G154" s="1" t="s">
        <v>220</v>
      </c>
      <c r="I154" s="68">
        <f>587.99+0.72</f>
        <v>588.71</v>
      </c>
      <c r="J154" s="1" t="s">
        <v>256</v>
      </c>
      <c r="K154" s="1" t="s">
        <v>52</v>
      </c>
      <c r="L154" s="1" t="s">
        <v>864</v>
      </c>
      <c r="M154" s="78" t="s">
        <v>862</v>
      </c>
      <c r="N154" s="78"/>
      <c r="P154" s="1" t="s">
        <v>399</v>
      </c>
      <c r="Q154" s="1" t="s">
        <v>403</v>
      </c>
      <c r="R154" s="4">
        <v>48.79</v>
      </c>
      <c r="S154" s="4">
        <v>1.9279999999999999</v>
      </c>
      <c r="T154" s="4">
        <v>15.189</v>
      </c>
      <c r="U154" s="4">
        <v>6.1449999999999996</v>
      </c>
      <c r="V154" s="4">
        <v>5.2</v>
      </c>
      <c r="W154" s="4">
        <v>0.14599999999999999</v>
      </c>
      <c r="X154" s="4">
        <v>7.0419999999999998</v>
      </c>
      <c r="Y154" s="4">
        <v>10.595000000000001</v>
      </c>
      <c r="Z154" s="4">
        <v>2.46</v>
      </c>
      <c r="AA154" s="4">
        <v>0.36</v>
      </c>
      <c r="AB154" s="4">
        <v>0.19</v>
      </c>
      <c r="AC154" s="67">
        <v>1.399</v>
      </c>
      <c r="AD154" s="23">
        <f>SUM(R154:AB154)+AC154</f>
        <v>99.443999999999988</v>
      </c>
      <c r="AE154" s="21">
        <f>V154+0.899*U154</f>
        <v>10.724354999999999</v>
      </c>
      <c r="AF154" s="23">
        <f>(X154/40.3)/((X154/40.3)+(AE154/71.844))</f>
        <v>0.53929890678678694</v>
      </c>
      <c r="AH154" s="16">
        <f t="shared" ref="AH154:AR154" si="170">100*R154/SUM($R154:$AB154)</f>
        <v>49.762863991024538</v>
      </c>
      <c r="AI154" s="16">
        <f t="shared" si="170"/>
        <v>1.9664439798051916</v>
      </c>
      <c r="AJ154" s="16">
        <f t="shared" si="170"/>
        <v>15.491865979907189</v>
      </c>
      <c r="AK154" s="16">
        <f t="shared" si="170"/>
        <v>6.2675302157172732</v>
      </c>
      <c r="AL154" s="16">
        <f t="shared" si="170"/>
        <v>5.3036870824621358</v>
      </c>
      <c r="AM154" s="16">
        <f t="shared" si="170"/>
        <v>0.14891121423835996</v>
      </c>
      <c r="AN154" s="16">
        <f t="shared" si="170"/>
        <v>7.1824162374419913</v>
      </c>
      <c r="AO154" s="16">
        <f t="shared" si="170"/>
        <v>10.8062624305166</v>
      </c>
      <c r="AP154" s="16">
        <f t="shared" si="170"/>
        <v>2.50905196593401</v>
      </c>
      <c r="AQ154" s="16">
        <f t="shared" si="170"/>
        <v>0.36717833647814785</v>
      </c>
      <c r="AR154" s="16">
        <f t="shared" si="170"/>
        <v>0.19378856647457801</v>
      </c>
      <c r="AS154" s="16">
        <f>SUM(AH154:AR154)</f>
        <v>100</v>
      </c>
      <c r="AT154" s="16">
        <f>AL154+0.899*AK154</f>
        <v>10.938196746391965</v>
      </c>
      <c r="AV154" s="1" t="s">
        <v>402</v>
      </c>
      <c r="AY154" s="34"/>
      <c r="AZ154" s="34"/>
      <c r="BA154" s="6">
        <v>329</v>
      </c>
      <c r="BB154" s="34"/>
      <c r="BC154" s="6">
        <v>151</v>
      </c>
      <c r="BD154" s="34"/>
      <c r="BE154" s="34"/>
      <c r="BF154" s="34"/>
      <c r="BG154" s="6">
        <v>75</v>
      </c>
      <c r="BH154" s="34"/>
      <c r="BI154" s="6">
        <v>63</v>
      </c>
      <c r="BJ154" s="34"/>
      <c r="BK154" s="6">
        <v>103</v>
      </c>
      <c r="BN154" s="34"/>
      <c r="BO154" s="34"/>
      <c r="BP154" s="34"/>
      <c r="BQ154" s="1">
        <v>188</v>
      </c>
      <c r="BR154" s="34"/>
      <c r="BS154" s="1">
        <v>22</v>
      </c>
      <c r="BT154" s="34"/>
      <c r="BU154" s="1">
        <v>146</v>
      </c>
      <c r="BV154" s="34"/>
      <c r="BW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</row>
    <row r="155" spans="1:98">
      <c r="A155" s="1" t="s">
        <v>289</v>
      </c>
      <c r="B155" s="1" t="s">
        <v>290</v>
      </c>
      <c r="C155" s="35" t="s">
        <v>332</v>
      </c>
      <c r="D155" s="63">
        <v>67.22</v>
      </c>
      <c r="E155" s="63">
        <v>2.93</v>
      </c>
      <c r="F155" s="1" t="s">
        <v>308</v>
      </c>
      <c r="G155" s="1" t="s">
        <v>294</v>
      </c>
      <c r="I155" s="68">
        <f>587.99+1.21</f>
        <v>589.20000000000005</v>
      </c>
      <c r="J155" s="1" t="s">
        <v>256</v>
      </c>
      <c r="K155" s="1" t="s">
        <v>52</v>
      </c>
      <c r="L155" s="1" t="s">
        <v>864</v>
      </c>
      <c r="M155" s="78" t="s">
        <v>862</v>
      </c>
      <c r="N155" s="78"/>
      <c r="P155" s="1" t="s">
        <v>399</v>
      </c>
      <c r="Q155" s="1" t="s">
        <v>403</v>
      </c>
      <c r="R155" s="4">
        <v>48.811</v>
      </c>
      <c r="S155" s="4">
        <v>2.1539999999999999</v>
      </c>
      <c r="T155" s="4">
        <v>15.175000000000001</v>
      </c>
      <c r="U155" s="4">
        <v>8.2949999999999999</v>
      </c>
      <c r="V155" s="4">
        <v>3.71</v>
      </c>
      <c r="W155" s="4">
        <v>0.1</v>
      </c>
      <c r="X155" s="4">
        <v>7.77</v>
      </c>
      <c r="Y155" s="4">
        <v>8.1549999999999994</v>
      </c>
      <c r="Z155" s="4">
        <v>2.86</v>
      </c>
      <c r="AA155" s="4">
        <v>0.39400000000000002</v>
      </c>
      <c r="AB155" s="4">
        <v>0.23899999999999999</v>
      </c>
      <c r="AC155" s="67">
        <v>2.0030000000000001</v>
      </c>
      <c r="AD155" s="23">
        <f t="shared" si="154"/>
        <v>99.665999999999997</v>
      </c>
      <c r="AE155" s="21">
        <f t="shared" si="155"/>
        <v>11.167204999999999</v>
      </c>
      <c r="AF155" s="23">
        <f t="shared" si="156"/>
        <v>0.55365126493724814</v>
      </c>
      <c r="AH155" s="16">
        <f t="shared" si="157"/>
        <v>49.979009450866762</v>
      </c>
      <c r="AI155" s="16">
        <f t="shared" si="158"/>
        <v>2.2055435528296283</v>
      </c>
      <c r="AJ155" s="16">
        <f t="shared" si="159"/>
        <v>15.538126004730554</v>
      </c>
      <c r="AK155" s="16">
        <f t="shared" si="160"/>
        <v>8.4934929297686939</v>
      </c>
      <c r="AL155" s="16">
        <f t="shared" si="161"/>
        <v>3.7987774285041418</v>
      </c>
      <c r="AM155" s="16">
        <f t="shared" si="162"/>
        <v>0.1023929226011898</v>
      </c>
      <c r="AN155" s="16">
        <f t="shared" si="163"/>
        <v>7.9559300861124482</v>
      </c>
      <c r="AO155" s="16">
        <f t="shared" si="164"/>
        <v>8.3501428381270273</v>
      </c>
      <c r="AP155" s="16">
        <f t="shared" si="165"/>
        <v>2.9284375863940286</v>
      </c>
      <c r="AQ155" s="16">
        <f t="shared" si="166"/>
        <v>0.40342811504868781</v>
      </c>
      <c r="AR155" s="16">
        <f t="shared" si="167"/>
        <v>0.24471908501684364</v>
      </c>
      <c r="AS155" s="16">
        <f t="shared" si="168"/>
        <v>99.999999999999986</v>
      </c>
      <c r="AT155" s="16">
        <f t="shared" si="169"/>
        <v>11.434427572366197</v>
      </c>
      <c r="AV155" s="1" t="s">
        <v>402</v>
      </c>
      <c r="AY155" s="34"/>
      <c r="AZ155" s="34"/>
      <c r="BA155" s="6">
        <v>331</v>
      </c>
      <c r="BB155" s="34"/>
      <c r="BC155" s="6">
        <v>144</v>
      </c>
      <c r="BD155" s="34"/>
      <c r="BE155" s="34"/>
      <c r="BF155" s="34"/>
      <c r="BG155" s="6">
        <v>72</v>
      </c>
      <c r="BH155" s="34"/>
      <c r="BI155" s="6">
        <v>131</v>
      </c>
      <c r="BJ155" s="34"/>
      <c r="BK155" s="6">
        <v>117</v>
      </c>
      <c r="BN155" s="34"/>
      <c r="BO155" s="34"/>
      <c r="BP155" s="34"/>
      <c r="BQ155" s="1">
        <v>199</v>
      </c>
      <c r="BR155" s="34"/>
      <c r="BS155" s="1">
        <v>23</v>
      </c>
      <c r="BT155" s="34"/>
      <c r="BU155" s="1">
        <v>147</v>
      </c>
      <c r="BV155" s="34"/>
      <c r="BW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</row>
    <row r="156" spans="1:98">
      <c r="A156" s="1" t="s">
        <v>289</v>
      </c>
      <c r="B156" s="1" t="s">
        <v>290</v>
      </c>
      <c r="C156" s="35" t="s">
        <v>334</v>
      </c>
      <c r="D156" s="63">
        <v>67.22</v>
      </c>
      <c r="E156" s="63">
        <v>2.93</v>
      </c>
      <c r="F156" s="1" t="s">
        <v>308</v>
      </c>
      <c r="G156" s="1" t="s">
        <v>192</v>
      </c>
      <c r="I156" s="68">
        <f>594.9+0.23</f>
        <v>595.13</v>
      </c>
      <c r="J156" s="1" t="s">
        <v>256</v>
      </c>
      <c r="K156" s="1" t="s">
        <v>52</v>
      </c>
      <c r="L156" s="1" t="s">
        <v>864</v>
      </c>
      <c r="M156" s="78" t="s">
        <v>862</v>
      </c>
      <c r="N156" s="78"/>
      <c r="P156" s="1" t="s">
        <v>399</v>
      </c>
      <c r="Q156" s="1" t="s">
        <v>403</v>
      </c>
      <c r="R156" s="4">
        <v>48.167000000000002</v>
      </c>
      <c r="S156" s="4">
        <v>1.861</v>
      </c>
      <c r="T156" s="4">
        <v>16.05</v>
      </c>
      <c r="U156" s="4">
        <v>8.6460000000000008</v>
      </c>
      <c r="V156" s="4">
        <v>3.28</v>
      </c>
      <c r="W156" s="4">
        <v>9.5000000000000001E-2</v>
      </c>
      <c r="X156" s="4">
        <v>7.3810000000000002</v>
      </c>
      <c r="Y156" s="4">
        <v>8.9979999999999993</v>
      </c>
      <c r="Z156" s="4">
        <v>2.74</v>
      </c>
      <c r="AA156" s="4">
        <v>0.2</v>
      </c>
      <c r="AB156" s="4">
        <v>0.17199999999999999</v>
      </c>
      <c r="AC156" s="67">
        <v>1.825</v>
      </c>
      <c r="AD156" s="23">
        <f t="shared" si="154"/>
        <v>99.415000000000006</v>
      </c>
      <c r="AE156" s="21">
        <f t="shared" si="155"/>
        <v>11.052754</v>
      </c>
      <c r="AF156" s="23">
        <f t="shared" si="156"/>
        <v>0.54348365693691747</v>
      </c>
      <c r="AH156" s="16">
        <f t="shared" si="157"/>
        <v>49.35649144379547</v>
      </c>
      <c r="AI156" s="16">
        <f t="shared" si="158"/>
        <v>1.9069576800901731</v>
      </c>
      <c r="AJ156" s="16">
        <f t="shared" si="159"/>
        <v>16.446357208730401</v>
      </c>
      <c r="AK156" s="16">
        <f t="shared" si="160"/>
        <v>8.8595142944973873</v>
      </c>
      <c r="AL156" s="16">
        <f t="shared" si="161"/>
        <v>3.3610001024695153</v>
      </c>
      <c r="AM156" s="16">
        <f t="shared" si="162"/>
        <v>9.7346039553232913E-2</v>
      </c>
      <c r="AN156" s="16">
        <f t="shared" si="163"/>
        <v>7.5632749257096012</v>
      </c>
      <c r="AO156" s="16">
        <f t="shared" si="164"/>
        <v>9.2202069884209443</v>
      </c>
      <c r="AP156" s="16">
        <f t="shared" si="165"/>
        <v>2.8076647197458757</v>
      </c>
      <c r="AQ156" s="16">
        <f t="shared" si="166"/>
        <v>0.20493903063838506</v>
      </c>
      <c r="AR156" s="16">
        <f t="shared" si="167"/>
        <v>0.17624756634901115</v>
      </c>
      <c r="AS156" s="16">
        <f t="shared" si="168"/>
        <v>99.999999999999986</v>
      </c>
      <c r="AT156" s="16">
        <f t="shared" si="169"/>
        <v>11.325703453222665</v>
      </c>
      <c r="AV156" s="1" t="s">
        <v>402</v>
      </c>
      <c r="AY156" s="34"/>
      <c r="AZ156" s="34"/>
      <c r="BA156" s="6">
        <v>299</v>
      </c>
      <c r="BB156" s="34"/>
      <c r="BC156" s="6">
        <v>147</v>
      </c>
      <c r="BD156" s="34"/>
      <c r="BE156" s="34"/>
      <c r="BF156" s="34"/>
      <c r="BG156" s="6">
        <v>71</v>
      </c>
      <c r="BH156" s="34"/>
      <c r="BI156" s="6">
        <v>159</v>
      </c>
      <c r="BJ156" s="34"/>
      <c r="BK156" s="6">
        <v>75</v>
      </c>
      <c r="BN156" s="34"/>
      <c r="BO156" s="34"/>
      <c r="BP156" s="34"/>
      <c r="BQ156" s="1">
        <v>201</v>
      </c>
      <c r="BR156" s="34"/>
      <c r="BS156" s="1">
        <v>19</v>
      </c>
      <c r="BT156" s="34"/>
      <c r="BU156" s="1">
        <v>143</v>
      </c>
      <c r="BV156" s="34"/>
      <c r="BW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</row>
    <row r="157" spans="1:98">
      <c r="A157" s="1" t="s">
        <v>289</v>
      </c>
      <c r="B157" s="1" t="s">
        <v>290</v>
      </c>
      <c r="C157" s="8" t="s">
        <v>337</v>
      </c>
      <c r="D157" s="63">
        <v>67.22</v>
      </c>
      <c r="E157" s="63">
        <v>2.93</v>
      </c>
      <c r="F157" s="1" t="s">
        <v>308</v>
      </c>
      <c r="G157" s="36" t="s">
        <v>226</v>
      </c>
      <c r="H157" s="36"/>
      <c r="I157" s="68">
        <f>602.8+0.25</f>
        <v>603.04999999999995</v>
      </c>
      <c r="J157" s="1" t="s">
        <v>256</v>
      </c>
      <c r="K157" s="1" t="s">
        <v>52</v>
      </c>
      <c r="L157" s="1" t="s">
        <v>864</v>
      </c>
      <c r="M157" s="78" t="s">
        <v>862</v>
      </c>
      <c r="N157" s="78"/>
      <c r="P157" s="1" t="s">
        <v>399</v>
      </c>
      <c r="Q157" s="1" t="s">
        <v>403</v>
      </c>
      <c r="R157" s="4">
        <v>48.686</v>
      </c>
      <c r="S157" s="4">
        <v>2.0510000000000002</v>
      </c>
      <c r="T157" s="4">
        <v>14.505000000000001</v>
      </c>
      <c r="U157" s="4">
        <v>5.9240000000000004</v>
      </c>
      <c r="V157" s="4">
        <v>5.8</v>
      </c>
      <c r="W157" s="4">
        <v>0.15</v>
      </c>
      <c r="X157" s="4">
        <v>7.5309999999999997</v>
      </c>
      <c r="Y157" s="4">
        <v>10.631</v>
      </c>
      <c r="Z157" s="4">
        <v>2.59</v>
      </c>
      <c r="AA157" s="4">
        <v>0.29699999999999999</v>
      </c>
      <c r="AB157" s="4">
        <v>0.19900000000000001</v>
      </c>
      <c r="AC157" s="67">
        <v>1.476</v>
      </c>
      <c r="AD157" s="23">
        <f t="shared" si="154"/>
        <v>99.840000000000018</v>
      </c>
      <c r="AE157" s="21">
        <f t="shared" si="155"/>
        <v>11.125676</v>
      </c>
      <c r="AF157" s="23">
        <f t="shared" si="156"/>
        <v>0.54684170653739961</v>
      </c>
      <c r="AH157" s="16">
        <f t="shared" si="157"/>
        <v>49.495750477817083</v>
      </c>
      <c r="AI157" s="16">
        <f t="shared" si="158"/>
        <v>2.0851124395103899</v>
      </c>
      <c r="AJ157" s="16">
        <f t="shared" si="159"/>
        <v>14.746248627546661</v>
      </c>
      <c r="AK157" s="16">
        <f t="shared" si="160"/>
        <v>6.022528567362043</v>
      </c>
      <c r="AL157" s="16">
        <f t="shared" si="161"/>
        <v>5.8964661868163137</v>
      </c>
      <c r="AM157" s="16">
        <f t="shared" si="162"/>
        <v>0.15249481517628397</v>
      </c>
      <c r="AN157" s="16">
        <f t="shared" si="163"/>
        <v>7.6562563539506314</v>
      </c>
      <c r="AO157" s="16">
        <f t="shared" si="164"/>
        <v>10.807815867593833</v>
      </c>
      <c r="AP157" s="16">
        <f t="shared" si="165"/>
        <v>2.6330771420438368</v>
      </c>
      <c r="AQ157" s="16">
        <f t="shared" si="166"/>
        <v>0.30193973404904229</v>
      </c>
      <c r="AR157" s="16">
        <f t="shared" si="167"/>
        <v>0.2023097881338701</v>
      </c>
      <c r="AS157" s="16">
        <f t="shared" si="168"/>
        <v>99.999999999999972</v>
      </c>
      <c r="AT157" s="16">
        <f t="shared" si="169"/>
        <v>11.310719368874791</v>
      </c>
      <c r="AV157" s="1" t="s">
        <v>402</v>
      </c>
      <c r="AY157" s="34">
        <v>36.994574621211974</v>
      </c>
      <c r="AZ157" s="34">
        <v>317.76286534827364</v>
      </c>
      <c r="BA157" s="6">
        <v>332</v>
      </c>
      <c r="BB157" s="34">
        <v>256.38663929038063</v>
      </c>
      <c r="BC157" s="6">
        <v>266</v>
      </c>
      <c r="BD157" s="34">
        <v>41.316975975988647</v>
      </c>
      <c r="BE157" s="34"/>
      <c r="BF157" s="34">
        <v>76.305143470587311</v>
      </c>
      <c r="BG157" s="6">
        <v>94</v>
      </c>
      <c r="BH157" s="34">
        <v>85.592700213106056</v>
      </c>
      <c r="BI157" s="6">
        <v>91</v>
      </c>
      <c r="BJ157" s="34">
        <v>100.4860862009087</v>
      </c>
      <c r="BK157" s="6">
        <v>94</v>
      </c>
      <c r="BN157" s="34">
        <v>4.454273868751458</v>
      </c>
      <c r="BO157" s="34"/>
      <c r="BP157" s="34">
        <v>180.03850522991044</v>
      </c>
      <c r="BQ157" s="1">
        <v>183</v>
      </c>
      <c r="BR157" s="34">
        <v>31.29737752905973</v>
      </c>
      <c r="BS157" s="1">
        <v>27</v>
      </c>
      <c r="BT157" s="34">
        <v>118.90373801296782</v>
      </c>
      <c r="BU157" s="1">
        <v>121</v>
      </c>
      <c r="BV157" s="34">
        <v>7.3340768843625286</v>
      </c>
      <c r="BW157" s="34"/>
      <c r="BZ157" s="34">
        <v>0.18756568063418633</v>
      </c>
      <c r="CA157" s="34">
        <v>33.747149672139422</v>
      </c>
      <c r="CB157" s="34">
        <v>6.9983248614822111</v>
      </c>
      <c r="CC157" s="34">
        <v>18.015020237588026</v>
      </c>
      <c r="CD157" s="34">
        <v>2.7218317228224507</v>
      </c>
      <c r="CE157" s="34">
        <v>14.025544405236941</v>
      </c>
      <c r="CF157" s="34">
        <v>4.3349495248130241</v>
      </c>
      <c r="CG157" s="34">
        <v>1.5015522565703083</v>
      </c>
      <c r="CH157" s="34">
        <v>4.82</v>
      </c>
      <c r="CI157" s="34">
        <v>0.90340318922182739</v>
      </c>
      <c r="CJ157" s="34">
        <v>5.2248333130228675</v>
      </c>
      <c r="CK157" s="34">
        <v>1.1115403416629366</v>
      </c>
      <c r="CL157" s="34">
        <v>3.00805649120087</v>
      </c>
      <c r="CM157" s="34">
        <v>0.41535849815243536</v>
      </c>
      <c r="CN157" s="34">
        <v>2.6459350912651445</v>
      </c>
      <c r="CO157" s="34">
        <v>0.42483688237029832</v>
      </c>
      <c r="CP157" s="34">
        <v>3.1048068214310955</v>
      </c>
      <c r="CQ157" s="34">
        <v>0.45188816606036469</v>
      </c>
      <c r="CR157" s="34">
        <v>0.74509615436888266</v>
      </c>
      <c r="CS157" s="34">
        <v>0.55706575701992633</v>
      </c>
      <c r="CT157" s="34">
        <v>0.16463918045736439</v>
      </c>
    </row>
    <row r="158" spans="1:98">
      <c r="A158" s="1" t="s">
        <v>289</v>
      </c>
      <c r="B158" s="1" t="s">
        <v>290</v>
      </c>
      <c r="C158" s="35" t="s">
        <v>335</v>
      </c>
      <c r="D158" s="63">
        <v>67.22</v>
      </c>
      <c r="E158" s="63">
        <v>2.93</v>
      </c>
      <c r="F158" s="1" t="s">
        <v>308</v>
      </c>
      <c r="G158" s="1" t="s">
        <v>226</v>
      </c>
      <c r="I158" s="68">
        <f>602.8+0.37</f>
        <v>603.16999999999996</v>
      </c>
      <c r="J158" s="1" t="s">
        <v>256</v>
      </c>
      <c r="K158" s="1" t="s">
        <v>52</v>
      </c>
      <c r="L158" s="1" t="s">
        <v>864</v>
      </c>
      <c r="M158" s="78" t="s">
        <v>862</v>
      </c>
      <c r="N158" s="78"/>
      <c r="P158" s="1" t="s">
        <v>399</v>
      </c>
      <c r="Q158" s="1" t="s">
        <v>403</v>
      </c>
      <c r="R158" s="4">
        <v>48.351999999999997</v>
      </c>
      <c r="S158" s="4">
        <v>2.1560000000000001</v>
      </c>
      <c r="T158" s="4">
        <v>15.034000000000001</v>
      </c>
      <c r="U158" s="4">
        <v>7.59</v>
      </c>
      <c r="V158" s="4">
        <v>4.1100000000000003</v>
      </c>
      <c r="W158" s="4">
        <v>0.112</v>
      </c>
      <c r="X158" s="4">
        <v>7.399</v>
      </c>
      <c r="Y158" s="4">
        <v>9.7379999999999995</v>
      </c>
      <c r="Z158" s="4">
        <v>2.65</v>
      </c>
      <c r="AA158" s="4">
        <v>0.23499999999999999</v>
      </c>
      <c r="AB158" s="4">
        <v>0.20100000000000001</v>
      </c>
      <c r="AC158" s="67">
        <v>1.637</v>
      </c>
      <c r="AD158" s="23">
        <f t="shared" si="154"/>
        <v>99.213999999999999</v>
      </c>
      <c r="AE158" s="21">
        <f t="shared" si="155"/>
        <v>10.93341</v>
      </c>
      <c r="AF158" s="23">
        <f t="shared" si="156"/>
        <v>0.54677959876819537</v>
      </c>
      <c r="AH158" s="16">
        <f t="shared" si="157"/>
        <v>49.552660975434783</v>
      </c>
      <c r="AI158" s="16">
        <f t="shared" si="158"/>
        <v>2.20953708353403</v>
      </c>
      <c r="AJ158" s="16">
        <f t="shared" si="159"/>
        <v>15.407319347797126</v>
      </c>
      <c r="AK158" s="16">
        <f t="shared" si="160"/>
        <v>7.7784723859106144</v>
      </c>
      <c r="AL158" s="16">
        <f t="shared" si="161"/>
        <v>4.2120581694456689</v>
      </c>
      <c r="AM158" s="16">
        <f t="shared" si="162"/>
        <v>0.11478114719657298</v>
      </c>
      <c r="AN158" s="16">
        <f t="shared" si="163"/>
        <v>7.5827295366736012</v>
      </c>
      <c r="AO158" s="16">
        <f t="shared" si="164"/>
        <v>9.97981081607346</v>
      </c>
      <c r="AP158" s="16">
        <f t="shared" si="165"/>
        <v>2.7158039292046281</v>
      </c>
      <c r="AQ158" s="16">
        <f t="shared" si="166"/>
        <v>0.24083544277852365</v>
      </c>
      <c r="AR158" s="16">
        <f t="shared" si="167"/>
        <v>0.20599116595099257</v>
      </c>
      <c r="AS158" s="16">
        <f t="shared" si="168"/>
        <v>99.999999999999986</v>
      </c>
      <c r="AT158" s="16">
        <f t="shared" si="169"/>
        <v>11.20490484437931</v>
      </c>
      <c r="AV158" s="1" t="s">
        <v>402</v>
      </c>
      <c r="AY158" s="34"/>
      <c r="AZ158" s="34"/>
      <c r="BA158" s="6">
        <v>330</v>
      </c>
      <c r="BB158" s="34"/>
      <c r="BC158" s="6">
        <v>142</v>
      </c>
      <c r="BD158" s="34"/>
      <c r="BE158" s="34"/>
      <c r="BF158" s="34"/>
      <c r="BG158" s="6">
        <v>73</v>
      </c>
      <c r="BH158" s="34"/>
      <c r="BI158" s="6">
        <v>200</v>
      </c>
      <c r="BJ158" s="34"/>
      <c r="BK158" s="6">
        <v>67</v>
      </c>
      <c r="BN158" s="34"/>
      <c r="BO158" s="34"/>
      <c r="BP158" s="34"/>
      <c r="BQ158" s="1">
        <v>194</v>
      </c>
      <c r="BR158" s="34"/>
      <c r="BS158" s="1">
        <v>20</v>
      </c>
      <c r="BT158" s="34"/>
      <c r="BU158" s="1">
        <v>139</v>
      </c>
      <c r="BV158" s="34"/>
      <c r="BW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</row>
    <row r="159" spans="1:98">
      <c r="A159" s="1" t="s">
        <v>289</v>
      </c>
      <c r="B159" s="1" t="s">
        <v>290</v>
      </c>
      <c r="C159" s="35" t="s">
        <v>336</v>
      </c>
      <c r="D159" s="63">
        <v>67.22</v>
      </c>
      <c r="E159" s="63">
        <v>2.93</v>
      </c>
      <c r="F159" s="1" t="s">
        <v>308</v>
      </c>
      <c r="G159" s="1" t="s">
        <v>181</v>
      </c>
      <c r="I159" s="68">
        <f>604.25+0.7</f>
        <v>604.95000000000005</v>
      </c>
      <c r="J159" s="1" t="s">
        <v>256</v>
      </c>
      <c r="K159" s="1" t="s">
        <v>52</v>
      </c>
      <c r="L159" s="1" t="s">
        <v>864</v>
      </c>
      <c r="M159" s="78" t="s">
        <v>862</v>
      </c>
      <c r="N159" s="78"/>
      <c r="P159" s="1" t="s">
        <v>399</v>
      </c>
      <c r="Q159" s="1" t="s">
        <v>403</v>
      </c>
      <c r="R159" s="4">
        <v>48.204000000000001</v>
      </c>
      <c r="S159" s="4">
        <v>2.6360000000000001</v>
      </c>
      <c r="T159" s="4">
        <v>13.457000000000001</v>
      </c>
      <c r="U159" s="4">
        <v>5.8280000000000003</v>
      </c>
      <c r="V159" s="4">
        <v>6.14</v>
      </c>
      <c r="W159" s="4">
        <v>0.19</v>
      </c>
      <c r="X159" s="4">
        <v>7.8449999999999998</v>
      </c>
      <c r="Y159" s="4">
        <v>10.64</v>
      </c>
      <c r="Z159" s="4">
        <v>2.5299999999999998</v>
      </c>
      <c r="AA159" s="4">
        <v>0.24</v>
      </c>
      <c r="AB159" s="4">
        <v>0.27100000000000002</v>
      </c>
      <c r="AC159" s="67">
        <v>1.5029999999999999</v>
      </c>
      <c r="AD159" s="23">
        <f t="shared" si="154"/>
        <v>99.483999999999995</v>
      </c>
      <c r="AE159" s="21">
        <f t="shared" si="155"/>
        <v>11.379372</v>
      </c>
      <c r="AF159" s="23">
        <f t="shared" si="156"/>
        <v>0.55137301304170383</v>
      </c>
      <c r="AH159" s="16">
        <f t="shared" si="157"/>
        <v>49.19729335279289</v>
      </c>
      <c r="AI159" s="16">
        <f t="shared" si="158"/>
        <v>2.6903175105377577</v>
      </c>
      <c r="AJ159" s="16">
        <f t="shared" si="159"/>
        <v>13.734295424623143</v>
      </c>
      <c r="AK159" s="16">
        <f t="shared" si="160"/>
        <v>5.9480919770159533</v>
      </c>
      <c r="AL159" s="16">
        <f t="shared" si="161"/>
        <v>6.2665210602055508</v>
      </c>
      <c r="AM159" s="16">
        <f t="shared" si="162"/>
        <v>0.19391514681417826</v>
      </c>
      <c r="AN159" s="16">
        <f t="shared" si="163"/>
        <v>8.0066543513538342</v>
      </c>
      <c r="AO159" s="16">
        <f t="shared" si="164"/>
        <v>10.859248221593983</v>
      </c>
      <c r="AP159" s="16">
        <f t="shared" si="165"/>
        <v>2.5821332707361631</v>
      </c>
      <c r="AQ159" s="16">
        <f t="shared" si="166"/>
        <v>0.24494544860738307</v>
      </c>
      <c r="AR159" s="16">
        <f t="shared" si="167"/>
        <v>0.27658423571917007</v>
      </c>
      <c r="AS159" s="16">
        <f t="shared" si="168"/>
        <v>100</v>
      </c>
      <c r="AT159" s="16">
        <f t="shared" si="169"/>
        <v>11.613855747542893</v>
      </c>
      <c r="AV159" s="1" t="s">
        <v>402</v>
      </c>
      <c r="AY159" s="34"/>
      <c r="AZ159" s="34"/>
      <c r="BA159" s="6">
        <v>329</v>
      </c>
      <c r="BB159" s="34"/>
      <c r="BC159" s="6">
        <v>290</v>
      </c>
      <c r="BD159" s="34"/>
      <c r="BE159" s="34"/>
      <c r="BF159" s="34"/>
      <c r="BG159" s="6">
        <v>124</v>
      </c>
      <c r="BH159" s="34"/>
      <c r="BI159" s="6">
        <v>184</v>
      </c>
      <c r="BJ159" s="34"/>
      <c r="BK159" s="6">
        <v>96</v>
      </c>
      <c r="BN159" s="34"/>
      <c r="BO159" s="34"/>
      <c r="BP159" s="34"/>
      <c r="BQ159" s="1">
        <v>374</v>
      </c>
      <c r="BR159" s="34"/>
      <c r="BS159" s="1">
        <v>25</v>
      </c>
      <c r="BT159" s="34"/>
      <c r="BU159" s="1">
        <v>191</v>
      </c>
      <c r="BV159" s="34"/>
      <c r="BW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</row>
    <row r="160" spans="1:98">
      <c r="A160" s="1" t="s">
        <v>289</v>
      </c>
      <c r="B160" s="1" t="s">
        <v>290</v>
      </c>
      <c r="C160" s="35" t="s">
        <v>338</v>
      </c>
      <c r="D160" s="63">
        <v>67.22</v>
      </c>
      <c r="E160" s="63">
        <v>2.93</v>
      </c>
      <c r="F160" s="1" t="s">
        <v>308</v>
      </c>
      <c r="G160" s="1" t="s">
        <v>245</v>
      </c>
      <c r="I160" s="68">
        <f>616.53+0.53</f>
        <v>617.05999999999995</v>
      </c>
      <c r="J160" s="1" t="s">
        <v>256</v>
      </c>
      <c r="K160" s="1" t="s">
        <v>52</v>
      </c>
      <c r="L160" s="1" t="s">
        <v>864</v>
      </c>
      <c r="M160" s="78" t="s">
        <v>862</v>
      </c>
      <c r="N160" s="78"/>
      <c r="P160" s="1" t="s">
        <v>399</v>
      </c>
      <c r="Q160" s="1" t="s">
        <v>403</v>
      </c>
      <c r="R160" s="4">
        <v>47.234000000000002</v>
      </c>
      <c r="S160" s="4">
        <v>2.1539999999999999</v>
      </c>
      <c r="T160" s="4">
        <v>14.21</v>
      </c>
      <c r="U160" s="4">
        <v>12.047000000000001</v>
      </c>
      <c r="V160" s="4">
        <v>2.65</v>
      </c>
      <c r="W160" s="4">
        <v>7.6999999999999999E-2</v>
      </c>
      <c r="X160" s="4">
        <v>8.6560000000000006</v>
      </c>
      <c r="Y160" s="4">
        <v>6.6310000000000002</v>
      </c>
      <c r="Z160" s="4">
        <v>2.62</v>
      </c>
      <c r="AA160" s="4">
        <v>1.056</v>
      </c>
      <c r="AB160" s="4">
        <v>0.18099999999999999</v>
      </c>
      <c r="AC160" s="67">
        <v>2.3450000000000002</v>
      </c>
      <c r="AD160" s="23">
        <f t="shared" si="154"/>
        <v>99.861000000000018</v>
      </c>
      <c r="AE160" s="21">
        <f t="shared" si="155"/>
        <v>13.480253000000001</v>
      </c>
      <c r="AF160" s="23">
        <f t="shared" si="156"/>
        <v>0.53374175956902936</v>
      </c>
      <c r="AH160" s="16">
        <f t="shared" si="157"/>
        <v>48.437179539767826</v>
      </c>
      <c r="AI160" s="16">
        <f t="shared" si="158"/>
        <v>2.2088682882808968</v>
      </c>
      <c r="AJ160" s="16">
        <f t="shared" si="159"/>
        <v>14.57196767709914</v>
      </c>
      <c r="AK160" s="16">
        <f t="shared" si="160"/>
        <v>12.353870134131833</v>
      </c>
      <c r="AL160" s="16">
        <f t="shared" si="161"/>
        <v>2.7175027687764053</v>
      </c>
      <c r="AM160" s="16">
        <f t="shared" si="162"/>
        <v>7.8961401205955933E-2</v>
      </c>
      <c r="AN160" s="16">
        <f t="shared" si="163"/>
        <v>8.8764920628409687</v>
      </c>
      <c r="AO160" s="16">
        <f t="shared" si="164"/>
        <v>6.7999097583986208</v>
      </c>
      <c r="AP160" s="16">
        <f t="shared" si="165"/>
        <v>2.6867385864883704</v>
      </c>
      <c r="AQ160" s="16">
        <f t="shared" si="166"/>
        <v>1.0828992165388243</v>
      </c>
      <c r="AR160" s="16">
        <f t="shared" si="167"/>
        <v>0.18561056647114313</v>
      </c>
      <c r="AS160" s="16">
        <f t="shared" si="168"/>
        <v>99.999999999999986</v>
      </c>
      <c r="AT160" s="16">
        <f t="shared" si="169"/>
        <v>13.823632019360923</v>
      </c>
      <c r="AV160" s="1" t="s">
        <v>402</v>
      </c>
      <c r="AY160" s="34"/>
      <c r="AZ160" s="34"/>
      <c r="BA160" s="6">
        <v>313</v>
      </c>
      <c r="BB160" s="34"/>
      <c r="BC160" s="6">
        <v>287</v>
      </c>
      <c r="BD160" s="34"/>
      <c r="BE160" s="34"/>
      <c r="BF160" s="34"/>
      <c r="BG160" s="6">
        <v>95</v>
      </c>
      <c r="BH160" s="34"/>
      <c r="BI160" s="6">
        <v>153</v>
      </c>
      <c r="BJ160" s="34"/>
      <c r="BK160" s="6">
        <v>82</v>
      </c>
      <c r="BN160" s="34"/>
      <c r="BO160" s="34"/>
      <c r="BP160" s="34"/>
      <c r="BQ160" s="1">
        <v>188</v>
      </c>
      <c r="BR160" s="34"/>
      <c r="BS160" s="1">
        <v>27</v>
      </c>
      <c r="BT160" s="34"/>
      <c r="BU160" s="1">
        <v>174</v>
      </c>
      <c r="BV160" s="34"/>
      <c r="BW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</row>
    <row r="161" spans="1:98">
      <c r="A161" s="1" t="s">
        <v>289</v>
      </c>
      <c r="B161" s="1" t="s">
        <v>290</v>
      </c>
      <c r="C161" s="35" t="s">
        <v>340</v>
      </c>
      <c r="D161" s="63">
        <v>67.22</v>
      </c>
      <c r="E161" s="63">
        <v>2.93</v>
      </c>
      <c r="F161" s="1" t="s">
        <v>308</v>
      </c>
      <c r="G161" s="1" t="s">
        <v>232</v>
      </c>
      <c r="I161" s="68">
        <f>643.6+0.74</f>
        <v>644.34</v>
      </c>
      <c r="J161" s="1" t="s">
        <v>256</v>
      </c>
      <c r="K161" s="1" t="s">
        <v>52</v>
      </c>
      <c r="L161" s="1" t="s">
        <v>864</v>
      </c>
      <c r="M161" s="78" t="s">
        <v>862</v>
      </c>
      <c r="N161" s="78"/>
      <c r="P161" s="1" t="s">
        <v>399</v>
      </c>
      <c r="Q161" s="1" t="s">
        <v>403</v>
      </c>
      <c r="R161" s="4">
        <v>48.587000000000003</v>
      </c>
      <c r="S161" s="4">
        <v>1.605</v>
      </c>
      <c r="T161" s="4">
        <v>13.602</v>
      </c>
      <c r="U161" s="4">
        <v>9.4420000000000002</v>
      </c>
      <c r="V161" s="4">
        <v>3.6</v>
      </c>
      <c r="W161" s="4">
        <v>8.2000000000000003E-2</v>
      </c>
      <c r="X161" s="4">
        <v>9.843</v>
      </c>
      <c r="Y161" s="4">
        <v>6.1280000000000001</v>
      </c>
      <c r="Z161" s="4">
        <v>2.71</v>
      </c>
      <c r="AA161" s="4">
        <v>0.95099999999999996</v>
      </c>
      <c r="AB161" s="4">
        <v>0.128</v>
      </c>
      <c r="AC161" s="67">
        <v>2.911</v>
      </c>
      <c r="AD161" s="23">
        <f t="shared" si="154"/>
        <v>99.58899999999997</v>
      </c>
      <c r="AE161" s="21">
        <f t="shared" si="155"/>
        <v>12.088357999999999</v>
      </c>
      <c r="AF161" s="23">
        <f t="shared" si="156"/>
        <v>0.59210237690076684</v>
      </c>
      <c r="AH161" s="16">
        <f t="shared" si="157"/>
        <v>50.256521649185984</v>
      </c>
      <c r="AI161" s="16">
        <f t="shared" si="158"/>
        <v>1.6601501892881529</v>
      </c>
      <c r="AJ161" s="16">
        <f t="shared" si="159"/>
        <v>14.069384968658852</v>
      </c>
      <c r="AK161" s="16">
        <f t="shared" si="160"/>
        <v>9.7664411758621448</v>
      </c>
      <c r="AL161" s="16">
        <f t="shared" si="161"/>
        <v>3.7237013591509971</v>
      </c>
      <c r="AM161" s="16">
        <f t="shared" si="162"/>
        <v>8.4817642069550503E-2</v>
      </c>
      <c r="AN161" s="16">
        <f t="shared" si="163"/>
        <v>10.181220132812017</v>
      </c>
      <c r="AO161" s="16">
        <f t="shared" si="164"/>
        <v>6.338567202465919</v>
      </c>
      <c r="AP161" s="16">
        <f t="shared" si="165"/>
        <v>2.8031196342497786</v>
      </c>
      <c r="AQ161" s="16">
        <f t="shared" si="166"/>
        <v>0.98367777570905501</v>
      </c>
      <c r="AR161" s="16">
        <f t="shared" si="167"/>
        <v>0.13239827054759101</v>
      </c>
      <c r="AS161" s="16">
        <f t="shared" si="168"/>
        <v>100.00000000000006</v>
      </c>
      <c r="AT161" s="16">
        <f t="shared" si="169"/>
        <v>12.503731976251066</v>
      </c>
      <c r="AV161" s="1" t="s">
        <v>402</v>
      </c>
      <c r="AY161" s="34"/>
      <c r="AZ161" s="34"/>
      <c r="BA161" s="6">
        <v>282</v>
      </c>
      <c r="BB161" s="34"/>
      <c r="BC161" s="6">
        <v>212</v>
      </c>
      <c r="BD161" s="34"/>
      <c r="BE161" s="34"/>
      <c r="BF161" s="34"/>
      <c r="BG161" s="6">
        <v>70</v>
      </c>
      <c r="BH161" s="34"/>
      <c r="BI161" s="6">
        <v>83</v>
      </c>
      <c r="BJ161" s="34"/>
      <c r="BK161" s="6">
        <v>75</v>
      </c>
      <c r="BN161" s="34"/>
      <c r="BO161" s="34"/>
      <c r="BP161" s="34"/>
      <c r="BQ161" s="1">
        <v>161</v>
      </c>
      <c r="BR161" s="34"/>
      <c r="BS161" s="1">
        <v>17</v>
      </c>
      <c r="BT161" s="34"/>
      <c r="BU161" s="1">
        <v>137</v>
      </c>
      <c r="BV161" s="34"/>
      <c r="BW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</row>
    <row r="162" spans="1:98">
      <c r="A162" s="1" t="s">
        <v>289</v>
      </c>
      <c r="B162" s="1" t="s">
        <v>290</v>
      </c>
      <c r="C162" s="35" t="s">
        <v>339</v>
      </c>
      <c r="D162" s="63">
        <v>67.22</v>
      </c>
      <c r="E162" s="63">
        <v>2.93</v>
      </c>
      <c r="F162" s="1" t="s">
        <v>308</v>
      </c>
      <c r="G162" s="1" t="s">
        <v>210</v>
      </c>
      <c r="I162" s="68">
        <f>643.6+1.42</f>
        <v>645.02</v>
      </c>
      <c r="J162" s="1" t="s">
        <v>256</v>
      </c>
      <c r="K162" s="1" t="s">
        <v>52</v>
      </c>
      <c r="L162" s="1" t="s">
        <v>864</v>
      </c>
      <c r="M162" s="78" t="s">
        <v>862</v>
      </c>
      <c r="N162" s="78"/>
      <c r="P162" s="1" t="s">
        <v>399</v>
      </c>
      <c r="Q162" s="1" t="s">
        <v>403</v>
      </c>
      <c r="R162" s="4">
        <v>48.399000000000001</v>
      </c>
      <c r="S162" s="4">
        <v>1.7809999999999999</v>
      </c>
      <c r="T162" s="4">
        <v>14.752000000000001</v>
      </c>
      <c r="U162" s="4">
        <v>8.5079999999999991</v>
      </c>
      <c r="V162" s="4">
        <v>3.94</v>
      </c>
      <c r="W162" s="4">
        <v>0.16700000000000001</v>
      </c>
      <c r="X162" s="4">
        <v>9.3629999999999995</v>
      </c>
      <c r="Y162" s="4">
        <v>6.8849999999999998</v>
      </c>
      <c r="Z162" s="4">
        <v>2.65</v>
      </c>
      <c r="AA162" s="4">
        <v>0.96799999999999997</v>
      </c>
      <c r="AB162" s="4">
        <v>0.16400000000000001</v>
      </c>
      <c r="AC162" s="67">
        <v>2.4889999999999999</v>
      </c>
      <c r="AD162" s="23">
        <f t="shared" si="154"/>
        <v>100.06600000000002</v>
      </c>
      <c r="AE162" s="21">
        <f t="shared" si="155"/>
        <v>11.588692</v>
      </c>
      <c r="AF162" s="23">
        <f t="shared" si="156"/>
        <v>0.59022161350481461</v>
      </c>
      <c r="AH162" s="16">
        <f t="shared" si="157"/>
        <v>49.600828063990477</v>
      </c>
      <c r="AI162" s="16">
        <f t="shared" si="158"/>
        <v>1.8252252067597894</v>
      </c>
      <c r="AJ162" s="16">
        <f t="shared" si="159"/>
        <v>15.118316816462894</v>
      </c>
      <c r="AK162" s="16">
        <f t="shared" si="160"/>
        <v>8.719267860253952</v>
      </c>
      <c r="AL162" s="16">
        <f t="shared" si="161"/>
        <v>4.0378367853080128</v>
      </c>
      <c r="AM162" s="16">
        <f t="shared" si="162"/>
        <v>0.17114688912346143</v>
      </c>
      <c r="AN162" s="16">
        <f t="shared" si="163"/>
        <v>9.5954989392992189</v>
      </c>
      <c r="AO162" s="16">
        <f t="shared" si="164"/>
        <v>7.0559660575750422</v>
      </c>
      <c r="AP162" s="16">
        <f t="shared" si="165"/>
        <v>2.7158039292046277</v>
      </c>
      <c r="AQ162" s="16">
        <f t="shared" si="166"/>
        <v>0.9920370579132376</v>
      </c>
      <c r="AR162" s="16">
        <f t="shared" si="167"/>
        <v>0.16807239410926755</v>
      </c>
      <c r="AS162" s="16">
        <f t="shared" si="168"/>
        <v>100</v>
      </c>
      <c r="AT162" s="16">
        <f t="shared" si="169"/>
        <v>11.876458591676315</v>
      </c>
      <c r="AV162" s="1" t="s">
        <v>402</v>
      </c>
      <c r="AY162" s="34"/>
      <c r="AZ162" s="34"/>
      <c r="BA162" s="6">
        <v>310</v>
      </c>
      <c r="BB162" s="34"/>
      <c r="BC162" s="6">
        <v>195</v>
      </c>
      <c r="BD162" s="34"/>
      <c r="BE162" s="34"/>
      <c r="BF162" s="34"/>
      <c r="BG162" s="6">
        <v>64</v>
      </c>
      <c r="BH162" s="34"/>
      <c r="BI162" s="6">
        <v>160</v>
      </c>
      <c r="BJ162" s="34"/>
      <c r="BK162" s="6">
        <v>104</v>
      </c>
      <c r="BN162" s="34"/>
      <c r="BO162" s="34"/>
      <c r="BP162" s="34"/>
      <c r="BQ162" s="1">
        <v>176</v>
      </c>
      <c r="BR162" s="34"/>
      <c r="BS162" s="1">
        <v>22</v>
      </c>
      <c r="BT162" s="34"/>
      <c r="BU162" s="1">
        <v>144</v>
      </c>
      <c r="BV162" s="34"/>
      <c r="BW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</row>
    <row r="163" spans="1:98">
      <c r="A163" s="1" t="s">
        <v>289</v>
      </c>
      <c r="B163" s="1" t="s">
        <v>290</v>
      </c>
      <c r="C163" s="35" t="s">
        <v>341</v>
      </c>
      <c r="D163" s="63">
        <v>67.22</v>
      </c>
      <c r="E163" s="63">
        <v>2.93</v>
      </c>
      <c r="F163" s="1" t="s">
        <v>308</v>
      </c>
      <c r="G163" s="1" t="s">
        <v>169</v>
      </c>
      <c r="I163" s="68">
        <f>651.6+0.25</f>
        <v>651.85</v>
      </c>
      <c r="J163" s="1" t="s">
        <v>256</v>
      </c>
      <c r="K163" s="1" t="s">
        <v>52</v>
      </c>
      <c r="L163" s="1" t="s">
        <v>864</v>
      </c>
      <c r="M163" s="78" t="s">
        <v>862</v>
      </c>
      <c r="N163" s="78"/>
      <c r="P163" s="1" t="s">
        <v>399</v>
      </c>
      <c r="Q163" s="1" t="s">
        <v>403</v>
      </c>
      <c r="R163" s="4">
        <v>48.128999999999998</v>
      </c>
      <c r="S163" s="4">
        <v>2.0270000000000001</v>
      </c>
      <c r="T163" s="4">
        <v>15.272</v>
      </c>
      <c r="U163" s="4">
        <v>6.1189999999999998</v>
      </c>
      <c r="V163" s="4">
        <v>5.05</v>
      </c>
      <c r="W163" s="4">
        <v>0.21099999999999999</v>
      </c>
      <c r="X163" s="4">
        <v>7.9050000000000002</v>
      </c>
      <c r="Y163" s="4">
        <v>10.407999999999999</v>
      </c>
      <c r="Z163" s="4">
        <v>2.63</v>
      </c>
      <c r="AA163" s="4">
        <v>0.17100000000000001</v>
      </c>
      <c r="AB163" s="4">
        <v>0.191</v>
      </c>
      <c r="AC163" s="67">
        <v>1.9119999999999999</v>
      </c>
      <c r="AD163" s="23">
        <f t="shared" si="154"/>
        <v>100.02500000000001</v>
      </c>
      <c r="AE163" s="21">
        <f t="shared" si="155"/>
        <v>10.550981</v>
      </c>
      <c r="AF163" s="23">
        <f t="shared" si="156"/>
        <v>0.57185468723852573</v>
      </c>
      <c r="AH163" s="16">
        <f t="shared" si="157"/>
        <v>49.054661461783859</v>
      </c>
      <c r="AI163" s="16">
        <f t="shared" si="158"/>
        <v>2.0659851395839492</v>
      </c>
      <c r="AJ163" s="16">
        <f t="shared" si="159"/>
        <v>15.565725235187998</v>
      </c>
      <c r="AK163" s="16">
        <f t="shared" si="160"/>
        <v>6.236686269913263</v>
      </c>
      <c r="AL163" s="16">
        <f t="shared" si="161"/>
        <v>5.1471262727671157</v>
      </c>
      <c r="AM163" s="16">
        <f t="shared" si="162"/>
        <v>0.21505814723838837</v>
      </c>
      <c r="AN163" s="16">
        <f t="shared" si="163"/>
        <v>8.0570362744998114</v>
      </c>
      <c r="AO163" s="16">
        <f t="shared" si="164"/>
        <v>10.60817628652676</v>
      </c>
      <c r="AP163" s="16">
        <f t="shared" si="165"/>
        <v>2.6805825935401018</v>
      </c>
      <c r="AQ163" s="16">
        <f t="shared" si="166"/>
        <v>0.17428883022637165</v>
      </c>
      <c r="AR163" s="16">
        <f t="shared" si="167"/>
        <v>0.19467348873238002</v>
      </c>
      <c r="AS163" s="16">
        <f t="shared" si="168"/>
        <v>100</v>
      </c>
      <c r="AT163" s="16">
        <f t="shared" si="169"/>
        <v>10.75390722941914</v>
      </c>
      <c r="AV163" s="1" t="s">
        <v>402</v>
      </c>
      <c r="AY163" s="34"/>
      <c r="AZ163" s="34"/>
      <c r="BA163" s="6">
        <v>354</v>
      </c>
      <c r="BB163" s="34"/>
      <c r="BC163" s="6">
        <v>291</v>
      </c>
      <c r="BD163" s="34"/>
      <c r="BE163" s="34"/>
      <c r="BF163" s="34"/>
      <c r="BG163" s="6">
        <v>94</v>
      </c>
      <c r="BH163" s="34"/>
      <c r="BI163" s="6">
        <v>139</v>
      </c>
      <c r="BJ163" s="34"/>
      <c r="BK163" s="6">
        <v>116</v>
      </c>
      <c r="BN163" s="34"/>
      <c r="BO163" s="34"/>
      <c r="BP163" s="34"/>
      <c r="BQ163" s="1">
        <v>182</v>
      </c>
      <c r="BR163" s="34"/>
      <c r="BS163" s="1">
        <v>25</v>
      </c>
      <c r="BT163" s="34"/>
      <c r="BU163" s="1">
        <v>162</v>
      </c>
      <c r="BV163" s="34"/>
      <c r="BW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</row>
    <row r="164" spans="1:98">
      <c r="A164" s="1" t="s">
        <v>289</v>
      </c>
      <c r="B164" s="1" t="s">
        <v>290</v>
      </c>
      <c r="C164" s="35" t="s">
        <v>342</v>
      </c>
      <c r="D164" s="63">
        <v>67.22</v>
      </c>
      <c r="E164" s="63">
        <v>2.93</v>
      </c>
      <c r="F164" s="1" t="s">
        <v>308</v>
      </c>
      <c r="G164" s="1" t="s">
        <v>178</v>
      </c>
      <c r="I164" s="68">
        <f>691.01+1.4</f>
        <v>692.41</v>
      </c>
      <c r="J164" s="1" t="s">
        <v>256</v>
      </c>
      <c r="K164" s="1" t="s">
        <v>52</v>
      </c>
      <c r="L164" s="1" t="s">
        <v>864</v>
      </c>
      <c r="M164" s="78" t="s">
        <v>862</v>
      </c>
      <c r="N164" s="78"/>
      <c r="P164" s="1" t="s">
        <v>399</v>
      </c>
      <c r="Q164" s="1" t="s">
        <v>403</v>
      </c>
      <c r="R164" s="4">
        <v>48.695999999999998</v>
      </c>
      <c r="S164" s="4">
        <v>2.0259999999999998</v>
      </c>
      <c r="T164" s="4">
        <v>15.106</v>
      </c>
      <c r="U164" s="4">
        <v>7.1669999999999998</v>
      </c>
      <c r="V164" s="4">
        <v>4.6900000000000004</v>
      </c>
      <c r="W164" s="4">
        <v>0.22900000000000001</v>
      </c>
      <c r="X164" s="4">
        <v>7.61</v>
      </c>
      <c r="Y164" s="4">
        <v>9.5830000000000002</v>
      </c>
      <c r="Z164" s="4">
        <v>2.84</v>
      </c>
      <c r="AA164" s="4">
        <v>0.27500000000000002</v>
      </c>
      <c r="AB164" s="4">
        <v>0.20399999999999999</v>
      </c>
      <c r="AC164" s="67">
        <v>1.6120000000000001</v>
      </c>
      <c r="AD164" s="23">
        <f t="shared" si="154"/>
        <v>100.03799999999998</v>
      </c>
      <c r="AE164" s="21">
        <f t="shared" si="155"/>
        <v>11.133133000000001</v>
      </c>
      <c r="AF164" s="23">
        <f t="shared" si="156"/>
        <v>0.54926048186642706</v>
      </c>
      <c r="AH164" s="16">
        <f t="shared" si="157"/>
        <v>49.474732286184548</v>
      </c>
      <c r="AI164" s="16">
        <f t="shared" si="158"/>
        <v>2.0583992034624998</v>
      </c>
      <c r="AJ164" s="16">
        <f t="shared" si="159"/>
        <v>15.347570763822569</v>
      </c>
      <c r="AK164" s="16">
        <f t="shared" si="160"/>
        <v>7.2816125820413307</v>
      </c>
      <c r="AL164" s="16">
        <f t="shared" si="161"/>
        <v>4.7650011175908817</v>
      </c>
      <c r="AM164" s="16">
        <f t="shared" si="162"/>
        <v>0.232662101477252</v>
      </c>
      <c r="AN164" s="16">
        <f t="shared" si="163"/>
        <v>7.7316969093532206</v>
      </c>
      <c r="AO164" s="16">
        <f t="shared" si="164"/>
        <v>9.7362485522118156</v>
      </c>
      <c r="AP164" s="16">
        <f t="shared" si="165"/>
        <v>2.8854164550017276</v>
      </c>
      <c r="AQ164" s="16">
        <f t="shared" si="166"/>
        <v>0.27939772011460395</v>
      </c>
      <c r="AR164" s="16">
        <f t="shared" si="167"/>
        <v>0.2072623087395607</v>
      </c>
      <c r="AS164" s="16">
        <f t="shared" si="168"/>
        <v>100.00000000000001</v>
      </c>
      <c r="AT164" s="16">
        <f t="shared" si="169"/>
        <v>11.311170828846038</v>
      </c>
      <c r="AV164" s="1" t="s">
        <v>402</v>
      </c>
      <c r="AY164" s="34"/>
      <c r="AZ164" s="34"/>
      <c r="BA164" s="6">
        <v>367</v>
      </c>
      <c r="BB164" s="34"/>
      <c r="BC164" s="6">
        <v>185</v>
      </c>
      <c r="BD164" s="34"/>
      <c r="BE164" s="34"/>
      <c r="BF164" s="34"/>
      <c r="BG164" s="6">
        <v>92</v>
      </c>
      <c r="BH164" s="34"/>
      <c r="BI164" s="6">
        <v>161</v>
      </c>
      <c r="BJ164" s="34"/>
      <c r="BK164" s="6">
        <v>134</v>
      </c>
      <c r="BN164" s="34"/>
      <c r="BO164" s="34"/>
      <c r="BP164" s="34"/>
      <c r="BQ164" s="1">
        <v>193</v>
      </c>
      <c r="BR164" s="34"/>
      <c r="BS164" s="1">
        <v>22</v>
      </c>
      <c r="BT164" s="34"/>
      <c r="BU164" s="1">
        <v>156</v>
      </c>
      <c r="BV164" s="34"/>
      <c r="BW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</row>
    <row r="165" spans="1:98">
      <c r="A165" s="1" t="s">
        <v>289</v>
      </c>
      <c r="B165" s="1" t="s">
        <v>290</v>
      </c>
      <c r="C165" s="35" t="s">
        <v>343</v>
      </c>
      <c r="D165" s="63">
        <v>67.22</v>
      </c>
      <c r="E165" s="63">
        <v>2.93</v>
      </c>
      <c r="F165" s="1" t="s">
        <v>308</v>
      </c>
      <c r="G165" s="1" t="s">
        <v>293</v>
      </c>
      <c r="I165" s="68">
        <f>697.6+1.13</f>
        <v>698.73</v>
      </c>
      <c r="J165" s="1" t="s">
        <v>256</v>
      </c>
      <c r="K165" s="1" t="s">
        <v>52</v>
      </c>
      <c r="L165" s="1" t="s">
        <v>864</v>
      </c>
      <c r="M165" s="78" t="s">
        <v>862</v>
      </c>
      <c r="N165" s="78"/>
      <c r="P165" s="1" t="s">
        <v>399</v>
      </c>
      <c r="Q165" s="1" t="s">
        <v>403</v>
      </c>
      <c r="R165" s="4">
        <v>48.082000000000001</v>
      </c>
      <c r="S165" s="4">
        <v>1.7390000000000001</v>
      </c>
      <c r="T165" s="4">
        <v>15.568</v>
      </c>
      <c r="U165" s="4">
        <v>5.516</v>
      </c>
      <c r="V165" s="4">
        <v>4.88</v>
      </c>
      <c r="W165" s="4">
        <v>0.19700000000000001</v>
      </c>
      <c r="X165" s="4">
        <v>8.3819999999999997</v>
      </c>
      <c r="Y165" s="4">
        <v>10.180999999999999</v>
      </c>
      <c r="Z165" s="4">
        <v>2.5</v>
      </c>
      <c r="AA165" s="4">
        <v>0.16600000000000001</v>
      </c>
      <c r="AB165" s="4">
        <v>0.16400000000000001</v>
      </c>
      <c r="AC165" s="67">
        <v>2.1829999999999998</v>
      </c>
      <c r="AD165" s="23">
        <f t="shared" si="154"/>
        <v>99.557999999999993</v>
      </c>
      <c r="AE165" s="21">
        <f t="shared" si="155"/>
        <v>9.8388840000000002</v>
      </c>
      <c r="AF165" s="23">
        <f t="shared" si="156"/>
        <v>0.60297820952759695</v>
      </c>
      <c r="AH165" s="16">
        <f t="shared" si="157"/>
        <v>49.378177150192556</v>
      </c>
      <c r="AI165" s="16">
        <f t="shared" si="158"/>
        <v>1.7858793324775353</v>
      </c>
      <c r="AJ165" s="16">
        <f t="shared" si="159"/>
        <v>15.98767650834403</v>
      </c>
      <c r="AK165" s="16">
        <f t="shared" si="160"/>
        <v>5.6646983311938381</v>
      </c>
      <c r="AL165" s="16">
        <f t="shared" si="161"/>
        <v>5.011553273427471</v>
      </c>
      <c r="AM165" s="16">
        <f t="shared" si="162"/>
        <v>0.20231065468549422</v>
      </c>
      <c r="AN165" s="16">
        <f t="shared" si="163"/>
        <v>8.607958921694479</v>
      </c>
      <c r="AO165" s="16">
        <f t="shared" si="164"/>
        <v>10.45545571245186</v>
      </c>
      <c r="AP165" s="16">
        <f t="shared" si="165"/>
        <v>2.5673940949935816</v>
      </c>
      <c r="AQ165" s="16">
        <f t="shared" si="166"/>
        <v>0.17047496790757383</v>
      </c>
      <c r="AR165" s="16">
        <f t="shared" si="167"/>
        <v>0.16842105263157897</v>
      </c>
      <c r="AS165" s="16">
        <f t="shared" si="168"/>
        <v>99.999999999999986</v>
      </c>
      <c r="AT165" s="16">
        <f t="shared" si="169"/>
        <v>10.10411707317073</v>
      </c>
      <c r="AV165" s="1" t="s">
        <v>402</v>
      </c>
      <c r="AY165" s="34"/>
      <c r="AZ165" s="34"/>
      <c r="BA165" s="6">
        <v>346</v>
      </c>
      <c r="BB165" s="34"/>
      <c r="BC165" s="6">
        <v>271</v>
      </c>
      <c r="BD165" s="34"/>
      <c r="BE165" s="34"/>
      <c r="BF165" s="34"/>
      <c r="BG165" s="6">
        <v>93</v>
      </c>
      <c r="BH165" s="34"/>
      <c r="BI165" s="6">
        <v>119</v>
      </c>
      <c r="BJ165" s="34"/>
      <c r="BK165" s="6">
        <v>98</v>
      </c>
      <c r="BN165" s="34"/>
      <c r="BO165" s="34"/>
      <c r="BP165" s="34"/>
      <c r="BQ165" s="1">
        <v>179</v>
      </c>
      <c r="BR165" s="34"/>
      <c r="BS165" s="1">
        <v>16</v>
      </c>
      <c r="BT165" s="34"/>
      <c r="BU165" s="1">
        <v>129</v>
      </c>
      <c r="BV165" s="34"/>
      <c r="BW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</row>
    <row r="166" spans="1:98">
      <c r="A166" s="1" t="s">
        <v>289</v>
      </c>
      <c r="B166" s="1" t="s">
        <v>290</v>
      </c>
      <c r="C166" s="35" t="s">
        <v>344</v>
      </c>
      <c r="D166" s="63">
        <v>67.22</v>
      </c>
      <c r="E166" s="63">
        <v>2.93</v>
      </c>
      <c r="F166" s="1" t="s">
        <v>308</v>
      </c>
      <c r="G166" s="1" t="s">
        <v>180</v>
      </c>
      <c r="I166" s="68">
        <f>718.07+0.19</f>
        <v>718.2600000000001</v>
      </c>
      <c r="J166" s="1" t="s">
        <v>256</v>
      </c>
      <c r="K166" s="1" t="s">
        <v>52</v>
      </c>
      <c r="L166" s="1" t="s">
        <v>864</v>
      </c>
      <c r="M166" s="78" t="s">
        <v>862</v>
      </c>
      <c r="N166" s="78"/>
      <c r="P166" s="1" t="s">
        <v>399</v>
      </c>
      <c r="Q166" s="1" t="s">
        <v>403</v>
      </c>
      <c r="R166" s="4">
        <v>48.344000000000001</v>
      </c>
      <c r="S166" s="4">
        <v>1.8089999999999999</v>
      </c>
      <c r="T166" s="4">
        <v>14.598000000000001</v>
      </c>
      <c r="U166" s="4">
        <v>7.76</v>
      </c>
      <c r="V166" s="4">
        <v>4.2699999999999996</v>
      </c>
      <c r="W166" s="4">
        <v>0.125</v>
      </c>
      <c r="X166" s="4">
        <v>9.3089999999999993</v>
      </c>
      <c r="Y166" s="4">
        <v>7.8810000000000002</v>
      </c>
      <c r="Z166" s="4">
        <v>2.8</v>
      </c>
      <c r="AA166" s="4">
        <v>0.32700000000000001</v>
      </c>
      <c r="AB166" s="4">
        <v>0.17899999999999999</v>
      </c>
      <c r="AC166" s="67">
        <v>2.605</v>
      </c>
      <c r="AD166" s="23">
        <f t="shared" si="154"/>
        <v>100.00700000000001</v>
      </c>
      <c r="AE166" s="21">
        <f t="shared" si="155"/>
        <v>11.24624</v>
      </c>
      <c r="AF166" s="23">
        <f t="shared" si="156"/>
        <v>0.59606444833352001</v>
      </c>
      <c r="AH166" s="16">
        <f t="shared" si="157"/>
        <v>49.633477751996885</v>
      </c>
      <c r="AI166" s="16">
        <f t="shared" si="158"/>
        <v>1.8572513911418658</v>
      </c>
      <c r="AJ166" s="16">
        <f t="shared" si="159"/>
        <v>14.987371922547794</v>
      </c>
      <c r="AK166" s="16">
        <f t="shared" si="160"/>
        <v>7.966982197490811</v>
      </c>
      <c r="AL166" s="16">
        <f t="shared" si="161"/>
        <v>4.383893554547134</v>
      </c>
      <c r="AM166" s="16">
        <f t="shared" si="162"/>
        <v>0.12833412044927209</v>
      </c>
      <c r="AN166" s="16">
        <f t="shared" si="163"/>
        <v>9.5572986180981907</v>
      </c>
      <c r="AO166" s="16">
        <f t="shared" si="164"/>
        <v>8.0912096260857069</v>
      </c>
      <c r="AP166" s="16">
        <f t="shared" si="165"/>
        <v>2.8746842980636949</v>
      </c>
      <c r="AQ166" s="16">
        <f t="shared" si="166"/>
        <v>0.33572205909529579</v>
      </c>
      <c r="AR166" s="16">
        <f t="shared" si="167"/>
        <v>0.1837744604833576</v>
      </c>
      <c r="AS166" s="16">
        <f t="shared" si="168"/>
        <v>99.999999999999986</v>
      </c>
      <c r="AT166" s="16">
        <f t="shared" si="169"/>
        <v>11.546210550091374</v>
      </c>
      <c r="AV166" s="1" t="s">
        <v>402</v>
      </c>
      <c r="AY166" s="34"/>
      <c r="AZ166" s="34"/>
      <c r="BA166" s="6">
        <v>334</v>
      </c>
      <c r="BB166" s="34"/>
      <c r="BC166" s="6">
        <v>233</v>
      </c>
      <c r="BD166" s="34"/>
      <c r="BE166" s="34"/>
      <c r="BF166" s="34"/>
      <c r="BG166" s="6">
        <v>77</v>
      </c>
      <c r="BH166" s="34"/>
      <c r="BI166" s="6">
        <v>147</v>
      </c>
      <c r="BJ166" s="34"/>
      <c r="BK166" s="6">
        <v>83</v>
      </c>
      <c r="BN166" s="34"/>
      <c r="BO166" s="34"/>
      <c r="BP166" s="34"/>
      <c r="BQ166" s="1">
        <v>177</v>
      </c>
      <c r="BR166" s="34"/>
      <c r="BS166" s="1">
        <v>17</v>
      </c>
      <c r="BT166" s="34"/>
      <c r="BU166" s="1">
        <v>138</v>
      </c>
      <c r="BV166" s="34"/>
      <c r="BW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</row>
    <row r="167" spans="1:98">
      <c r="A167" s="1" t="s">
        <v>289</v>
      </c>
      <c r="B167" s="1" t="s">
        <v>290</v>
      </c>
      <c r="C167" s="35" t="s">
        <v>345</v>
      </c>
      <c r="D167" s="63">
        <v>67.22</v>
      </c>
      <c r="E167" s="63">
        <v>2.93</v>
      </c>
      <c r="F167" s="1" t="s">
        <v>308</v>
      </c>
      <c r="G167" s="1" t="s">
        <v>295</v>
      </c>
      <c r="I167" s="68">
        <f>723.3+0.27</f>
        <v>723.56999999999994</v>
      </c>
      <c r="J167" s="1" t="s">
        <v>256</v>
      </c>
      <c r="K167" s="1" t="s">
        <v>52</v>
      </c>
      <c r="L167" s="1" t="s">
        <v>864</v>
      </c>
      <c r="M167" s="78" t="s">
        <v>862</v>
      </c>
      <c r="N167" s="78"/>
      <c r="P167" s="1" t="s">
        <v>399</v>
      </c>
      <c r="Q167" s="1" t="s">
        <v>403</v>
      </c>
      <c r="R167" s="4">
        <v>48.923000000000002</v>
      </c>
      <c r="S167" s="4">
        <v>2.0390000000000001</v>
      </c>
      <c r="T167" s="4">
        <v>15.090999999999999</v>
      </c>
      <c r="U167" s="4">
        <v>6.0049999999999999</v>
      </c>
      <c r="V167" s="4">
        <v>4.7</v>
      </c>
      <c r="W167" s="4">
        <v>0.188</v>
      </c>
      <c r="X167" s="4">
        <v>8.0050000000000008</v>
      </c>
      <c r="Y167" s="4">
        <v>9.4550000000000001</v>
      </c>
      <c r="Z167" s="4">
        <v>2.83</v>
      </c>
      <c r="AA167" s="4">
        <v>0.378</v>
      </c>
      <c r="AB167" s="4">
        <v>0.19800000000000001</v>
      </c>
      <c r="AC167" s="67">
        <v>1.7929999999999999</v>
      </c>
      <c r="AD167" s="23">
        <f t="shared" si="154"/>
        <v>99.60499999999999</v>
      </c>
      <c r="AE167" s="21">
        <f t="shared" si="155"/>
        <v>10.098495</v>
      </c>
      <c r="AF167" s="23">
        <f t="shared" si="156"/>
        <v>0.58560492738228953</v>
      </c>
      <c r="AH167" s="16">
        <f t="shared" si="157"/>
        <v>50.017380280538184</v>
      </c>
      <c r="AI167" s="16">
        <f t="shared" si="158"/>
        <v>2.0846112951376115</v>
      </c>
      <c r="AJ167" s="16">
        <f t="shared" si="159"/>
        <v>15.428577270682535</v>
      </c>
      <c r="AK167" s="16">
        <f t="shared" si="160"/>
        <v>6.1393285077495614</v>
      </c>
      <c r="AL167" s="16">
        <f t="shared" si="161"/>
        <v>4.8051363840837533</v>
      </c>
      <c r="AM167" s="16">
        <f t="shared" si="162"/>
        <v>0.19220545536335015</v>
      </c>
      <c r="AN167" s="16">
        <f t="shared" si="163"/>
        <v>8.184067394593713</v>
      </c>
      <c r="AO167" s="16">
        <f t="shared" si="164"/>
        <v>9.6665030875557214</v>
      </c>
      <c r="AP167" s="16">
        <f t="shared" si="165"/>
        <v>2.8933055248844726</v>
      </c>
      <c r="AQ167" s="16">
        <f t="shared" si="166"/>
        <v>0.38645564961354439</v>
      </c>
      <c r="AR167" s="16">
        <f t="shared" si="167"/>
        <v>0.2024291497975709</v>
      </c>
      <c r="AS167" s="16">
        <f t="shared" si="168"/>
        <v>100.00000000000001</v>
      </c>
      <c r="AT167" s="16">
        <f t="shared" si="169"/>
        <v>10.324392712550608</v>
      </c>
      <c r="AV167" s="1" t="s">
        <v>402</v>
      </c>
      <c r="AY167" s="34"/>
      <c r="AZ167" s="34"/>
      <c r="BA167" s="6">
        <v>383</v>
      </c>
      <c r="BB167" s="34"/>
      <c r="BC167" s="6">
        <v>111</v>
      </c>
      <c r="BD167" s="34"/>
      <c r="BE167" s="34"/>
      <c r="BF167" s="34"/>
      <c r="BG167" s="6">
        <v>68</v>
      </c>
      <c r="BH167" s="34"/>
      <c r="BI167" s="6">
        <v>279</v>
      </c>
      <c r="BJ167" s="34"/>
      <c r="BK167" s="6">
        <v>135</v>
      </c>
      <c r="BN167" s="34"/>
      <c r="BO167" s="34"/>
      <c r="BP167" s="34"/>
      <c r="BQ167" s="1">
        <v>192</v>
      </c>
      <c r="BR167" s="34"/>
      <c r="BS167" s="1">
        <v>21</v>
      </c>
      <c r="BT167" s="34"/>
      <c r="BU167" s="1">
        <v>149</v>
      </c>
      <c r="BV167" s="34"/>
      <c r="BW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</row>
    <row r="168" spans="1:98">
      <c r="A168" s="1" t="s">
        <v>289</v>
      </c>
      <c r="B168" s="1" t="s">
        <v>290</v>
      </c>
      <c r="C168" s="35" t="s">
        <v>346</v>
      </c>
      <c r="D168" s="63">
        <v>67.22</v>
      </c>
      <c r="E168" s="63">
        <v>2.93</v>
      </c>
      <c r="F168" s="1" t="s">
        <v>308</v>
      </c>
      <c r="G168" s="1" t="s">
        <v>291</v>
      </c>
      <c r="I168" s="68">
        <f>727.87+0.03</f>
        <v>727.9</v>
      </c>
      <c r="J168" s="1" t="s">
        <v>256</v>
      </c>
      <c r="K168" s="1" t="s">
        <v>52</v>
      </c>
      <c r="L168" s="1" t="s">
        <v>864</v>
      </c>
      <c r="M168" s="78" t="s">
        <v>862</v>
      </c>
      <c r="N168" s="78"/>
      <c r="P168" s="1" t="s">
        <v>399</v>
      </c>
      <c r="Q168" s="1" t="s">
        <v>403</v>
      </c>
      <c r="R168" s="4">
        <v>49</v>
      </c>
      <c r="S168" s="4">
        <v>1.9490000000000001</v>
      </c>
      <c r="T168" s="4">
        <v>14.609</v>
      </c>
      <c r="U168" s="4">
        <v>5.7110000000000003</v>
      </c>
      <c r="V168" s="4">
        <v>6.06</v>
      </c>
      <c r="W168" s="4">
        <v>0.26900000000000002</v>
      </c>
      <c r="X168" s="4">
        <v>7.13</v>
      </c>
      <c r="Y168" s="4">
        <v>10.208</v>
      </c>
      <c r="Z168" s="4">
        <v>2.83</v>
      </c>
      <c r="AA168" s="4">
        <v>0.14699999999999999</v>
      </c>
      <c r="AB168" s="4">
        <v>0.2</v>
      </c>
      <c r="AC168" s="67">
        <v>1.514</v>
      </c>
      <c r="AD168" s="23">
        <f t="shared" si="154"/>
        <v>99.626999999999995</v>
      </c>
      <c r="AE168" s="21">
        <f t="shared" si="155"/>
        <v>11.194189</v>
      </c>
      <c r="AF168" s="23">
        <f t="shared" si="156"/>
        <v>0.53172284735439734</v>
      </c>
      <c r="AH168" s="16">
        <f t="shared" si="157"/>
        <v>49.942413339720524</v>
      </c>
      <c r="AI168" s="16">
        <f t="shared" si="158"/>
        <v>1.9864849714105166</v>
      </c>
      <c r="AJ168" s="16">
        <f t="shared" si="159"/>
        <v>14.88997380571382</v>
      </c>
      <c r="AK168" s="16">
        <f t="shared" si="160"/>
        <v>5.8208392363906922</v>
      </c>
      <c r="AL168" s="16">
        <f t="shared" si="161"/>
        <v>6.1765515273205382</v>
      </c>
      <c r="AM168" s="16">
        <f t="shared" si="162"/>
        <v>0.27417365690581269</v>
      </c>
      <c r="AN168" s="16">
        <f t="shared" si="163"/>
        <v>7.2671307573919872</v>
      </c>
      <c r="AO168" s="16">
        <f t="shared" si="164"/>
        <v>10.404329701466677</v>
      </c>
      <c r="AP168" s="16">
        <f t="shared" si="165"/>
        <v>2.8844291786001857</v>
      </c>
      <c r="AQ168" s="16">
        <f t="shared" si="166"/>
        <v>0.14982724001916156</v>
      </c>
      <c r="AR168" s="16">
        <f t="shared" si="167"/>
        <v>0.20384658506008377</v>
      </c>
      <c r="AS168" s="16">
        <f t="shared" si="168"/>
        <v>100</v>
      </c>
      <c r="AT168" s="16">
        <f t="shared" si="169"/>
        <v>11.40948600083577</v>
      </c>
      <c r="AV168" s="1" t="s">
        <v>402</v>
      </c>
      <c r="AY168" s="34"/>
      <c r="AZ168" s="34"/>
      <c r="BA168" s="6">
        <v>372</v>
      </c>
      <c r="BB168" s="34"/>
      <c r="BC168" s="6">
        <v>96</v>
      </c>
      <c r="BD168" s="34"/>
      <c r="BE168" s="34"/>
      <c r="BF168" s="34"/>
      <c r="BG168" s="6">
        <v>66</v>
      </c>
      <c r="BH168" s="34"/>
      <c r="BI168" s="6">
        <v>204</v>
      </c>
      <c r="BJ168" s="34"/>
      <c r="BK168" s="6">
        <v>114</v>
      </c>
      <c r="BN168" s="34"/>
      <c r="BO168" s="34"/>
      <c r="BP168" s="34"/>
      <c r="BQ168" s="1">
        <v>192</v>
      </c>
      <c r="BR168" s="34"/>
      <c r="BS168" s="1">
        <v>23</v>
      </c>
      <c r="BT168" s="34"/>
      <c r="BU168" s="1">
        <v>157</v>
      </c>
      <c r="BV168" s="34"/>
      <c r="BW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</row>
    <row r="169" spans="1:98">
      <c r="A169" s="1" t="s">
        <v>289</v>
      </c>
      <c r="B169" s="1" t="s">
        <v>290</v>
      </c>
      <c r="C169" s="35" t="s">
        <v>347</v>
      </c>
      <c r="D169" s="63">
        <v>67.22</v>
      </c>
      <c r="E169" s="63">
        <v>2.93</v>
      </c>
      <c r="F169" s="1" t="s">
        <v>308</v>
      </c>
      <c r="G169" s="1" t="s">
        <v>299</v>
      </c>
      <c r="I169" s="68">
        <f>729.37+0.3</f>
        <v>729.67</v>
      </c>
      <c r="J169" s="1" t="s">
        <v>256</v>
      </c>
      <c r="K169" s="1" t="s">
        <v>52</v>
      </c>
      <c r="L169" s="1" t="s">
        <v>864</v>
      </c>
      <c r="M169" s="78" t="s">
        <v>862</v>
      </c>
      <c r="N169" s="78"/>
      <c r="P169" s="1" t="s">
        <v>399</v>
      </c>
      <c r="Q169" s="1" t="s">
        <v>403</v>
      </c>
      <c r="R169" s="4">
        <v>47.72</v>
      </c>
      <c r="S169" s="4">
        <v>1.61</v>
      </c>
      <c r="T169" s="4">
        <v>12.603</v>
      </c>
      <c r="U169" s="4">
        <v>11.26</v>
      </c>
      <c r="V169" s="4">
        <v>3.34</v>
      </c>
      <c r="W169" s="4">
        <v>9.4E-2</v>
      </c>
      <c r="X169" s="4">
        <v>9.4789999999999992</v>
      </c>
      <c r="Y169" s="4">
        <v>5.0110000000000001</v>
      </c>
      <c r="Z169" s="4">
        <v>1.87</v>
      </c>
      <c r="AA169" s="4">
        <v>3.1909999999999998</v>
      </c>
      <c r="AB169" s="4">
        <v>0.126</v>
      </c>
      <c r="AC169" s="67">
        <v>2.9420000000000002</v>
      </c>
      <c r="AD169" s="23">
        <f t="shared" si="154"/>
        <v>99.246000000000009</v>
      </c>
      <c r="AE169" s="21">
        <f t="shared" si="155"/>
        <v>13.46274</v>
      </c>
      <c r="AF169" s="23">
        <f t="shared" si="156"/>
        <v>0.55658125245189694</v>
      </c>
      <c r="AH169" s="16">
        <f t="shared" si="157"/>
        <v>49.551420501744474</v>
      </c>
      <c r="AI169" s="16">
        <f t="shared" si="158"/>
        <v>1.6717893337763747</v>
      </c>
      <c r="AJ169" s="16">
        <f t="shared" si="159"/>
        <v>13.086683834524006</v>
      </c>
      <c r="AK169" s="16">
        <f t="shared" si="160"/>
        <v>11.692141551752783</v>
      </c>
      <c r="AL169" s="16">
        <f t="shared" si="161"/>
        <v>3.4681840837348394</v>
      </c>
      <c r="AM169" s="16">
        <f t="shared" si="162"/>
        <v>9.7607576009303879E-2</v>
      </c>
      <c r="AN169" s="16">
        <f t="shared" si="163"/>
        <v>9.842789499916929</v>
      </c>
      <c r="AO169" s="16">
        <f t="shared" si="164"/>
        <v>5.2033145040704438</v>
      </c>
      <c r="AP169" s="16">
        <f t="shared" si="165"/>
        <v>1.9417677355042366</v>
      </c>
      <c r="AQ169" s="16">
        <f t="shared" si="166"/>
        <v>3.3134656919754106</v>
      </c>
      <c r="AR169" s="16">
        <f t="shared" si="167"/>
        <v>0.13083568699119455</v>
      </c>
      <c r="AS169" s="16">
        <f t="shared" si="168"/>
        <v>100.00000000000001</v>
      </c>
      <c r="AT169" s="16">
        <f t="shared" si="169"/>
        <v>13.979419338760593</v>
      </c>
      <c r="AV169" s="1" t="s">
        <v>402</v>
      </c>
      <c r="AY169" s="34"/>
      <c r="AZ169" s="34"/>
      <c r="BA169" s="6">
        <v>265</v>
      </c>
      <c r="BB169" s="34"/>
      <c r="BC169" s="6">
        <v>135</v>
      </c>
      <c r="BD169" s="34"/>
      <c r="BE169" s="34"/>
      <c r="BF169" s="34"/>
      <c r="BG169" s="6">
        <v>71</v>
      </c>
      <c r="BH169" s="34"/>
      <c r="BI169" s="6">
        <v>148</v>
      </c>
      <c r="BJ169" s="34"/>
      <c r="BK169" s="6">
        <v>77</v>
      </c>
      <c r="BN169" s="34"/>
      <c r="BO169" s="34"/>
      <c r="BP169" s="34"/>
      <c r="BQ169" s="1">
        <v>120</v>
      </c>
      <c r="BR169" s="34"/>
      <c r="BS169" s="1">
        <v>24</v>
      </c>
      <c r="BT169" s="34"/>
      <c r="BU169" s="1">
        <v>147</v>
      </c>
      <c r="BV169" s="34"/>
      <c r="BW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</row>
    <row r="170" spans="1:98">
      <c r="A170" s="1" t="s">
        <v>289</v>
      </c>
      <c r="B170" s="1" t="s">
        <v>290</v>
      </c>
      <c r="C170" s="35" t="s">
        <v>348</v>
      </c>
      <c r="D170" s="63">
        <v>67.22</v>
      </c>
      <c r="E170" s="63">
        <v>2.93</v>
      </c>
      <c r="F170" s="1" t="s">
        <v>308</v>
      </c>
      <c r="G170" s="1" t="s">
        <v>162</v>
      </c>
      <c r="I170" s="68">
        <f>741.7+0.7</f>
        <v>742.40000000000009</v>
      </c>
      <c r="J170" s="1" t="s">
        <v>256</v>
      </c>
      <c r="K170" s="1" t="s">
        <v>52</v>
      </c>
      <c r="L170" s="1" t="s">
        <v>864</v>
      </c>
      <c r="M170" s="78" t="s">
        <v>862</v>
      </c>
      <c r="N170" s="78"/>
      <c r="P170" s="1" t="s">
        <v>399</v>
      </c>
      <c r="Q170" s="1" t="s">
        <v>403</v>
      </c>
      <c r="R170" s="4">
        <v>48.276000000000003</v>
      </c>
      <c r="S170" s="4">
        <v>1.8979999999999999</v>
      </c>
      <c r="T170" s="4">
        <v>14.792999999999999</v>
      </c>
      <c r="U170" s="4">
        <v>4.476</v>
      </c>
      <c r="V170" s="4">
        <v>6.45</v>
      </c>
      <c r="W170" s="4">
        <v>0.17</v>
      </c>
      <c r="X170" s="4">
        <v>7.76</v>
      </c>
      <c r="Y170" s="4">
        <v>11.301</v>
      </c>
      <c r="Z170" s="4">
        <v>2.48</v>
      </c>
      <c r="AA170" s="4">
        <v>0.13500000000000001</v>
      </c>
      <c r="AB170" s="4">
        <v>0.19</v>
      </c>
      <c r="AC170" s="67">
        <v>1.6679999999999999</v>
      </c>
      <c r="AD170" s="23">
        <f t="shared" si="154"/>
        <v>99.597000000000037</v>
      </c>
      <c r="AE170" s="21">
        <f t="shared" si="155"/>
        <v>10.473924</v>
      </c>
      <c r="AF170" s="23">
        <f t="shared" si="156"/>
        <v>0.56911449427435656</v>
      </c>
      <c r="AH170" s="16">
        <f t="shared" si="157"/>
        <v>49.296939619520252</v>
      </c>
      <c r="AI170" s="16">
        <f t="shared" si="158"/>
        <v>1.9381388557015788</v>
      </c>
      <c r="AJ170" s="16">
        <f t="shared" si="159"/>
        <v>15.105841987562412</v>
      </c>
      <c r="AK170" s="16">
        <f t="shared" si="160"/>
        <v>4.5706583340991935</v>
      </c>
      <c r="AL170" s="16">
        <f t="shared" si="161"/>
        <v>6.5864044358667995</v>
      </c>
      <c r="AM170" s="16">
        <f t="shared" si="162"/>
        <v>0.17359515567400866</v>
      </c>
      <c r="AN170" s="16">
        <f t="shared" si="163"/>
        <v>7.9241082825312192</v>
      </c>
      <c r="AO170" s="16">
        <f t="shared" si="164"/>
        <v>11.539993260423364</v>
      </c>
      <c r="AP170" s="16">
        <f t="shared" si="165"/>
        <v>2.5324469768914204</v>
      </c>
      <c r="AQ170" s="16">
        <f t="shared" si="166"/>
        <v>0.13785497656465395</v>
      </c>
      <c r="AR170" s="16">
        <f t="shared" si="167"/>
        <v>0.19401811516506851</v>
      </c>
      <c r="AS170" s="16">
        <f t="shared" si="168"/>
        <v>99.999999999999957</v>
      </c>
      <c r="AT170" s="16">
        <f t="shared" si="169"/>
        <v>10.695426278221975</v>
      </c>
      <c r="AV170" s="1" t="s">
        <v>402</v>
      </c>
      <c r="AY170" s="34"/>
      <c r="AZ170" s="34"/>
      <c r="BA170" s="6">
        <v>335</v>
      </c>
      <c r="BB170" s="34"/>
      <c r="BC170" s="6">
        <v>322</v>
      </c>
      <c r="BD170" s="34"/>
      <c r="BE170" s="34"/>
      <c r="BF170" s="34"/>
      <c r="BG170" s="6">
        <v>116</v>
      </c>
      <c r="BH170" s="34"/>
      <c r="BI170" s="6">
        <v>126</v>
      </c>
      <c r="BJ170" s="34"/>
      <c r="BK170" s="6">
        <v>97</v>
      </c>
      <c r="BN170" s="34"/>
      <c r="BO170" s="34"/>
      <c r="BP170" s="34"/>
      <c r="BQ170" s="1">
        <v>181</v>
      </c>
      <c r="BR170" s="34"/>
      <c r="BS170" s="1">
        <v>22</v>
      </c>
      <c r="BT170" s="34"/>
      <c r="BU170" s="1">
        <v>161</v>
      </c>
      <c r="BV170" s="34"/>
      <c r="BW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</row>
    <row r="171" spans="1:98">
      <c r="A171" s="1" t="s">
        <v>289</v>
      </c>
      <c r="B171" s="1" t="s">
        <v>290</v>
      </c>
      <c r="C171" s="35" t="s">
        <v>349</v>
      </c>
      <c r="D171" s="63">
        <v>67.22</v>
      </c>
      <c r="E171" s="63">
        <v>2.93</v>
      </c>
      <c r="F171" s="1" t="s">
        <v>308</v>
      </c>
      <c r="G171" s="1" t="s">
        <v>212</v>
      </c>
      <c r="I171" s="68">
        <f>757.6+0.01</f>
        <v>757.61</v>
      </c>
      <c r="J171" s="1" t="s">
        <v>256</v>
      </c>
      <c r="K171" s="1" t="s">
        <v>52</v>
      </c>
      <c r="L171" s="1" t="s">
        <v>864</v>
      </c>
      <c r="M171" s="78" t="s">
        <v>862</v>
      </c>
      <c r="N171" s="78"/>
      <c r="P171" s="1" t="s">
        <v>399</v>
      </c>
      <c r="Q171" s="1" t="s">
        <v>403</v>
      </c>
      <c r="R171" s="4">
        <v>47.832000000000001</v>
      </c>
      <c r="S171" s="4">
        <v>1.84</v>
      </c>
      <c r="T171" s="4">
        <v>14.974</v>
      </c>
      <c r="U171" s="4">
        <v>7.0359999999999996</v>
      </c>
      <c r="V171" s="4">
        <v>4.92</v>
      </c>
      <c r="W171" s="4">
        <v>0.17100000000000001</v>
      </c>
      <c r="X171" s="4">
        <v>8.7669999999999995</v>
      </c>
      <c r="Y171" s="4">
        <v>8.5589999999999993</v>
      </c>
      <c r="Z171" s="4">
        <v>2.54</v>
      </c>
      <c r="AA171" s="4">
        <v>0.441</v>
      </c>
      <c r="AB171" s="4">
        <v>0.187</v>
      </c>
      <c r="AC171" s="67">
        <v>2.028</v>
      </c>
      <c r="AD171" s="23">
        <f t="shared" si="154"/>
        <v>99.295000000000016</v>
      </c>
      <c r="AE171" s="21">
        <f t="shared" si="155"/>
        <v>11.245363999999999</v>
      </c>
      <c r="AF171" s="23">
        <f t="shared" si="156"/>
        <v>0.58156090354288525</v>
      </c>
      <c r="AH171" s="16">
        <f t="shared" si="157"/>
        <v>49.175979520289502</v>
      </c>
      <c r="AI171" s="16">
        <f t="shared" si="158"/>
        <v>1.8917001655237642</v>
      </c>
      <c r="AJ171" s="16">
        <f t="shared" si="159"/>
        <v>15.394738194865678</v>
      </c>
      <c r="AK171" s="16">
        <f t="shared" si="160"/>
        <v>7.2336969372963065</v>
      </c>
      <c r="AL171" s="16">
        <f t="shared" si="161"/>
        <v>5.0582417469439784</v>
      </c>
      <c r="AM171" s="16">
        <f t="shared" si="162"/>
        <v>0.17580474364378462</v>
      </c>
      <c r="AN171" s="16">
        <f t="shared" si="163"/>
        <v>9.013334429971108</v>
      </c>
      <c r="AO171" s="16">
        <f t="shared" si="164"/>
        <v>8.799490063433641</v>
      </c>
      <c r="AP171" s="16">
        <f t="shared" si="165"/>
        <v>2.611368706755631</v>
      </c>
      <c r="AQ171" s="16">
        <f t="shared" si="166"/>
        <v>0.45339118097607611</v>
      </c>
      <c r="AR171" s="16">
        <f t="shared" si="167"/>
        <v>0.19225431030051299</v>
      </c>
      <c r="AS171" s="16">
        <f t="shared" si="168"/>
        <v>99.999999999999957</v>
      </c>
      <c r="AT171" s="16">
        <f t="shared" si="169"/>
        <v>11.561335293573357</v>
      </c>
      <c r="AV171" s="1" t="s">
        <v>402</v>
      </c>
      <c r="AY171" s="34"/>
      <c r="AZ171" s="34"/>
      <c r="BA171" s="6">
        <v>335</v>
      </c>
      <c r="BB171" s="34"/>
      <c r="BC171" s="6">
        <v>258</v>
      </c>
      <c r="BD171" s="34"/>
      <c r="BE171" s="34"/>
      <c r="BF171" s="34"/>
      <c r="BG171" s="6">
        <v>87</v>
      </c>
      <c r="BH171" s="34"/>
      <c r="BI171" s="6">
        <v>73</v>
      </c>
      <c r="BJ171" s="34"/>
      <c r="BK171" s="6">
        <v>101</v>
      </c>
      <c r="BN171" s="34"/>
      <c r="BO171" s="34"/>
      <c r="BP171" s="34"/>
      <c r="BQ171" s="1">
        <v>182</v>
      </c>
      <c r="BR171" s="34"/>
      <c r="BS171" s="1">
        <v>19</v>
      </c>
      <c r="BT171" s="34"/>
      <c r="BU171" s="1">
        <v>138</v>
      </c>
      <c r="BV171" s="34"/>
      <c r="BW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</row>
    <row r="172" spans="1:98">
      <c r="A172" s="1" t="s">
        <v>289</v>
      </c>
      <c r="B172" s="1" t="s">
        <v>290</v>
      </c>
      <c r="C172" s="35" t="s">
        <v>350</v>
      </c>
      <c r="D172" s="63">
        <v>67.22</v>
      </c>
      <c r="E172" s="63">
        <v>2.93</v>
      </c>
      <c r="F172" s="1" t="s">
        <v>308</v>
      </c>
      <c r="G172" s="1" t="s">
        <v>223</v>
      </c>
      <c r="I172" s="68">
        <f>766.1+1.3</f>
        <v>767.4</v>
      </c>
      <c r="J172" s="1" t="s">
        <v>256</v>
      </c>
      <c r="K172" s="1" t="s">
        <v>52</v>
      </c>
      <c r="L172" s="1" t="s">
        <v>864</v>
      </c>
      <c r="M172" s="78" t="s">
        <v>862</v>
      </c>
      <c r="N172" s="78"/>
      <c r="P172" s="1" t="s">
        <v>399</v>
      </c>
      <c r="Q172" s="1" t="s">
        <v>403</v>
      </c>
      <c r="R172" s="4">
        <v>47.512999999999998</v>
      </c>
      <c r="S172" s="4">
        <v>2.0369999999999999</v>
      </c>
      <c r="T172" s="4">
        <v>14.327999999999999</v>
      </c>
      <c r="U172" s="4">
        <v>7.891</v>
      </c>
      <c r="V172" s="4">
        <v>5.35</v>
      </c>
      <c r="W172" s="4">
        <v>0.20300000000000001</v>
      </c>
      <c r="X172" s="4">
        <v>9.3390000000000004</v>
      </c>
      <c r="Y172" s="4">
        <v>7.1</v>
      </c>
      <c r="Z172" s="4">
        <v>2.5499999999999998</v>
      </c>
      <c r="AA172" s="4">
        <v>0.68100000000000005</v>
      </c>
      <c r="AB172" s="4">
        <v>0.19800000000000001</v>
      </c>
      <c r="AC172" s="67">
        <v>2.5950000000000002</v>
      </c>
      <c r="AD172" s="23">
        <f t="shared" si="154"/>
        <v>99.784999999999982</v>
      </c>
      <c r="AE172" s="21">
        <f t="shared" si="155"/>
        <v>12.444008999999999</v>
      </c>
      <c r="AF172" s="23">
        <f t="shared" si="156"/>
        <v>0.57226675867039356</v>
      </c>
      <c r="AH172" s="16">
        <f t="shared" si="157"/>
        <v>48.886716740405404</v>
      </c>
      <c r="AI172" s="16">
        <f t="shared" si="158"/>
        <v>2.0958946393661901</v>
      </c>
      <c r="AJ172" s="16">
        <f t="shared" si="159"/>
        <v>14.742257433892378</v>
      </c>
      <c r="AK172" s="16">
        <f t="shared" si="160"/>
        <v>8.1191480605000539</v>
      </c>
      <c r="AL172" s="16">
        <f t="shared" si="161"/>
        <v>5.5046815515999601</v>
      </c>
      <c r="AM172" s="16">
        <f t="shared" si="162"/>
        <v>0.20886922522893306</v>
      </c>
      <c r="AN172" s="16">
        <f t="shared" si="163"/>
        <v>9.609013272970472</v>
      </c>
      <c r="AO172" s="16">
        <f t="shared" si="164"/>
        <v>7.3052783208148995</v>
      </c>
      <c r="AP172" s="16">
        <f t="shared" si="165"/>
        <v>2.6237267208560553</v>
      </c>
      <c r="AQ172" s="16">
        <f t="shared" si="166"/>
        <v>0.7006893713344996</v>
      </c>
      <c r="AR172" s="16">
        <f t="shared" si="167"/>
        <v>0.20372466303117609</v>
      </c>
      <c r="AS172" s="16">
        <f t="shared" si="168"/>
        <v>100.00000000000004</v>
      </c>
      <c r="AT172" s="16">
        <f t="shared" si="169"/>
        <v>12.803795657989509</v>
      </c>
      <c r="AV172" s="1" t="s">
        <v>402</v>
      </c>
      <c r="AY172" s="34"/>
      <c r="AZ172" s="34"/>
      <c r="BA172" s="6">
        <v>359</v>
      </c>
      <c r="BB172" s="34"/>
      <c r="BC172" s="6">
        <v>226</v>
      </c>
      <c r="BD172" s="34"/>
      <c r="BE172" s="34"/>
      <c r="BF172" s="34"/>
      <c r="BG172" s="6">
        <v>81</v>
      </c>
      <c r="BH172" s="34"/>
      <c r="BI172" s="6">
        <v>93</v>
      </c>
      <c r="BJ172" s="34"/>
      <c r="BK172" s="6">
        <v>111</v>
      </c>
      <c r="BN172" s="34"/>
      <c r="BO172" s="34"/>
      <c r="BP172" s="34"/>
      <c r="BQ172" s="1">
        <v>172</v>
      </c>
      <c r="BR172" s="34"/>
      <c r="BS172" s="1">
        <v>24</v>
      </c>
      <c r="BT172" s="34"/>
      <c r="BU172" s="1">
        <v>144</v>
      </c>
      <c r="BV172" s="34"/>
      <c r="BW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</row>
    <row r="173" spans="1:98">
      <c r="A173" s="1" t="s">
        <v>289</v>
      </c>
      <c r="B173" s="1" t="s">
        <v>290</v>
      </c>
      <c r="C173" s="35" t="s">
        <v>351</v>
      </c>
      <c r="D173" s="63">
        <v>67.22</v>
      </c>
      <c r="E173" s="63">
        <v>2.93</v>
      </c>
      <c r="F173" s="1" t="s">
        <v>308</v>
      </c>
      <c r="G173" s="1" t="s">
        <v>176</v>
      </c>
      <c r="I173" s="68">
        <f>784.9+0.16</f>
        <v>785.06</v>
      </c>
      <c r="J173" s="1" t="s">
        <v>256</v>
      </c>
      <c r="K173" s="1" t="s">
        <v>52</v>
      </c>
      <c r="L173" s="1" t="s">
        <v>864</v>
      </c>
      <c r="M173" s="78" t="s">
        <v>862</v>
      </c>
      <c r="N173" s="78"/>
      <c r="P173" s="1" t="s">
        <v>399</v>
      </c>
      <c r="Q173" s="1" t="s">
        <v>403</v>
      </c>
      <c r="R173" s="4">
        <v>47.991999999999997</v>
      </c>
      <c r="S173" s="4">
        <v>2.7469999999999999</v>
      </c>
      <c r="T173" s="4">
        <v>13.597</v>
      </c>
      <c r="U173" s="4">
        <v>7.6040000000000001</v>
      </c>
      <c r="V173" s="4">
        <v>5.93</v>
      </c>
      <c r="W173" s="4">
        <v>0.14299999999999999</v>
      </c>
      <c r="X173" s="4">
        <v>7.1639999999999997</v>
      </c>
      <c r="Y173" s="4">
        <v>9.6940000000000008</v>
      </c>
      <c r="Z173" s="4">
        <v>2.71</v>
      </c>
      <c r="AA173" s="4">
        <v>0.24399999999999999</v>
      </c>
      <c r="AB173" s="4">
        <v>0.27800000000000002</v>
      </c>
      <c r="AC173" s="67">
        <v>1.41</v>
      </c>
      <c r="AD173" s="23">
        <f t="shared" si="154"/>
        <v>99.513000000000005</v>
      </c>
      <c r="AE173" s="21">
        <f t="shared" si="155"/>
        <v>12.765996000000001</v>
      </c>
      <c r="AF173" s="23">
        <f t="shared" si="156"/>
        <v>0.50010726086723356</v>
      </c>
      <c r="AH173" s="16">
        <f t="shared" si="157"/>
        <v>48.920012639776559</v>
      </c>
      <c r="AI173" s="16">
        <f t="shared" si="158"/>
        <v>2.8001182430710574</v>
      </c>
      <c r="AJ173" s="16">
        <f t="shared" si="159"/>
        <v>13.859922734269084</v>
      </c>
      <c r="AK173" s="16">
        <f t="shared" si="160"/>
        <v>7.7510371752138054</v>
      </c>
      <c r="AL173" s="16">
        <f t="shared" si="161"/>
        <v>6.0446673394289672</v>
      </c>
      <c r="AM173" s="16">
        <f t="shared" si="162"/>
        <v>0.14576516518353158</v>
      </c>
      <c r="AN173" s="16">
        <f t="shared" si="163"/>
        <v>7.3025289746490927</v>
      </c>
      <c r="AO173" s="16">
        <f t="shared" si="164"/>
        <v>9.8814511278961916</v>
      </c>
      <c r="AP173" s="16">
        <f t="shared" si="165"/>
        <v>2.7624027807508433</v>
      </c>
      <c r="AQ173" s="16">
        <f t="shared" si="166"/>
        <v>0.24871818394952241</v>
      </c>
      <c r="AR173" s="16">
        <f t="shared" si="167"/>
        <v>0.28337563581134118</v>
      </c>
      <c r="AS173" s="16">
        <f t="shared" si="168"/>
        <v>100</v>
      </c>
      <c r="AT173" s="16">
        <f t="shared" si="169"/>
        <v>13.012849759946178</v>
      </c>
      <c r="AV173" s="1" t="s">
        <v>402</v>
      </c>
      <c r="AY173" s="34"/>
      <c r="AZ173" s="34"/>
      <c r="BA173" s="6">
        <v>410</v>
      </c>
      <c r="BB173" s="34"/>
      <c r="BC173" s="6">
        <v>235</v>
      </c>
      <c r="BD173" s="34"/>
      <c r="BE173" s="34"/>
      <c r="BF173" s="34"/>
      <c r="BG173" s="6">
        <v>79</v>
      </c>
      <c r="BH173" s="34"/>
      <c r="BI173" s="6">
        <v>93</v>
      </c>
      <c r="BJ173" s="34"/>
      <c r="BK173" s="6">
        <v>108</v>
      </c>
      <c r="BN173" s="34"/>
      <c r="BO173" s="34"/>
      <c r="BP173" s="34"/>
      <c r="BQ173" s="1">
        <v>192</v>
      </c>
      <c r="BR173" s="34"/>
      <c r="BS173" s="1">
        <v>32</v>
      </c>
      <c r="BT173" s="34"/>
      <c r="BU173" s="1">
        <v>195</v>
      </c>
      <c r="BV173" s="34"/>
      <c r="BW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</row>
    <row r="174" spans="1:98">
      <c r="A174" s="1" t="s">
        <v>289</v>
      </c>
      <c r="B174" s="1" t="s">
        <v>290</v>
      </c>
      <c r="C174" s="35" t="s">
        <v>352</v>
      </c>
      <c r="D174" s="63">
        <v>67.22</v>
      </c>
      <c r="E174" s="63">
        <v>2.93</v>
      </c>
      <c r="F174" s="1" t="s">
        <v>308</v>
      </c>
      <c r="G174" s="1" t="s">
        <v>215</v>
      </c>
      <c r="I174" s="68">
        <f>786.36+1.15</f>
        <v>787.51</v>
      </c>
      <c r="J174" s="1" t="s">
        <v>256</v>
      </c>
      <c r="K174" s="1" t="s">
        <v>52</v>
      </c>
      <c r="L174" s="1" t="s">
        <v>864</v>
      </c>
      <c r="M174" s="78" t="s">
        <v>862</v>
      </c>
      <c r="N174" s="78"/>
      <c r="P174" s="1" t="s">
        <v>399</v>
      </c>
      <c r="Q174" s="1" t="s">
        <v>403</v>
      </c>
      <c r="R174" s="4">
        <v>48.206000000000003</v>
      </c>
      <c r="S174" s="4">
        <v>2.2229999999999999</v>
      </c>
      <c r="T174" s="4">
        <v>13.792</v>
      </c>
      <c r="U174" s="4">
        <v>5.048</v>
      </c>
      <c r="V174" s="4">
        <v>7.22</v>
      </c>
      <c r="W174" s="4">
        <v>0.29699999999999999</v>
      </c>
      <c r="X174" s="4">
        <v>7.5679999999999996</v>
      </c>
      <c r="Y174" s="4">
        <v>10.803000000000001</v>
      </c>
      <c r="Z174" s="4">
        <v>2.5099999999999998</v>
      </c>
      <c r="AA174" s="4">
        <v>0.127</v>
      </c>
      <c r="AB174" s="4">
        <v>0.22500000000000001</v>
      </c>
      <c r="AC174" s="67">
        <v>1.3740000000000001</v>
      </c>
      <c r="AD174" s="23">
        <f t="shared" si="154"/>
        <v>99.392999999999986</v>
      </c>
      <c r="AE174" s="21">
        <f t="shared" si="155"/>
        <v>11.758151999999999</v>
      </c>
      <c r="AF174" s="23">
        <f t="shared" si="156"/>
        <v>0.53432783037672449</v>
      </c>
      <c r="AH174" s="16">
        <f t="shared" si="157"/>
        <v>49.180260969811982</v>
      </c>
      <c r="AI174" s="16">
        <f t="shared" si="158"/>
        <v>2.2679276466807456</v>
      </c>
      <c r="AJ174" s="16">
        <f t="shared" si="159"/>
        <v>14.070741386873975</v>
      </c>
      <c r="AK174" s="16">
        <f t="shared" si="160"/>
        <v>5.1500219345228988</v>
      </c>
      <c r="AL174" s="16">
        <f t="shared" si="161"/>
        <v>7.3659188524673791</v>
      </c>
      <c r="AM174" s="16">
        <f t="shared" si="162"/>
        <v>0.30300247911119277</v>
      </c>
      <c r="AN174" s="16">
        <f t="shared" si="163"/>
        <v>7.7209520603148372</v>
      </c>
      <c r="AO174" s="16">
        <f t="shared" si="164"/>
        <v>11.021332598781871</v>
      </c>
      <c r="AP174" s="16">
        <f t="shared" si="165"/>
        <v>2.5607280221181608</v>
      </c>
      <c r="AQ174" s="16">
        <f t="shared" si="166"/>
        <v>0.12956671665697467</v>
      </c>
      <c r="AR174" s="16">
        <f t="shared" si="167"/>
        <v>0.22954733265999452</v>
      </c>
      <c r="AS174" s="16">
        <f t="shared" si="168"/>
        <v>100.00000000000001</v>
      </c>
      <c r="AT174" s="16">
        <f t="shared" si="169"/>
        <v>11.995788571603466</v>
      </c>
      <c r="AV174" s="1" t="s">
        <v>402</v>
      </c>
      <c r="AY174" s="34"/>
      <c r="AZ174" s="34"/>
      <c r="BA174" s="6">
        <v>374</v>
      </c>
      <c r="BB174" s="34"/>
      <c r="BC174" s="6">
        <v>244</v>
      </c>
      <c r="BD174" s="34"/>
      <c r="BE174" s="34"/>
      <c r="BF174" s="34"/>
      <c r="BG174" s="6">
        <v>96</v>
      </c>
      <c r="BH174" s="34"/>
      <c r="BI174" s="6">
        <v>136</v>
      </c>
      <c r="BJ174" s="34"/>
      <c r="BK174" s="6">
        <v>119</v>
      </c>
      <c r="BN174" s="34"/>
      <c r="BO174" s="34"/>
      <c r="BP174" s="34"/>
      <c r="BQ174" s="1">
        <v>182</v>
      </c>
      <c r="BR174" s="34"/>
      <c r="BS174" s="1">
        <v>27</v>
      </c>
      <c r="BT174" s="34"/>
      <c r="BU174" s="1">
        <v>164</v>
      </c>
      <c r="BV174" s="34"/>
      <c r="BW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</row>
    <row r="175" spans="1:98">
      <c r="A175" s="1" t="s">
        <v>289</v>
      </c>
      <c r="B175" s="1" t="s">
        <v>290</v>
      </c>
      <c r="C175" s="35" t="s">
        <v>353</v>
      </c>
      <c r="D175" s="63">
        <v>67.22</v>
      </c>
      <c r="E175" s="63">
        <v>2.93</v>
      </c>
      <c r="F175" s="1" t="s">
        <v>308</v>
      </c>
      <c r="G175" s="1" t="s">
        <v>136</v>
      </c>
      <c r="I175" s="68">
        <f>795.8+0.4</f>
        <v>796.19999999999993</v>
      </c>
      <c r="J175" s="1" t="s">
        <v>256</v>
      </c>
      <c r="K175" s="1" t="s">
        <v>52</v>
      </c>
      <c r="L175" s="1" t="s">
        <v>864</v>
      </c>
      <c r="M175" s="78" t="s">
        <v>862</v>
      </c>
      <c r="N175" s="78"/>
      <c r="P175" s="1" t="s">
        <v>399</v>
      </c>
      <c r="Q175" s="1" t="s">
        <v>403</v>
      </c>
      <c r="R175" s="4">
        <v>47.911999999999999</v>
      </c>
      <c r="S175" s="4">
        <v>2.7189999999999999</v>
      </c>
      <c r="T175" s="4">
        <v>13.622999999999999</v>
      </c>
      <c r="U175" s="4">
        <v>6.2380000000000004</v>
      </c>
      <c r="V175" s="4">
        <v>7.34</v>
      </c>
      <c r="W175" s="4">
        <v>0.33400000000000002</v>
      </c>
      <c r="X175" s="4">
        <v>7.202</v>
      </c>
      <c r="Y175" s="4">
        <v>9.7520000000000007</v>
      </c>
      <c r="Z175" s="4">
        <v>2.89</v>
      </c>
      <c r="AA175" s="4">
        <v>0.18099999999999999</v>
      </c>
      <c r="AB175" s="4">
        <v>0.27500000000000002</v>
      </c>
      <c r="AC175" s="67">
        <v>1.5069999999999999</v>
      </c>
      <c r="AD175" s="23">
        <f t="shared" si="154"/>
        <v>99.973000000000013</v>
      </c>
      <c r="AE175" s="21">
        <f t="shared" si="155"/>
        <v>12.947962</v>
      </c>
      <c r="AF175" s="23">
        <f t="shared" si="156"/>
        <v>0.49789151168891271</v>
      </c>
      <c r="AH175" s="16">
        <f t="shared" si="157"/>
        <v>48.658420165336253</v>
      </c>
      <c r="AI175" s="16">
        <f t="shared" si="158"/>
        <v>2.7613592509089426</v>
      </c>
      <c r="AJ175" s="16">
        <f t="shared" si="159"/>
        <v>13.835232466028881</v>
      </c>
      <c r="AK175" s="16">
        <f t="shared" si="160"/>
        <v>6.3351816870798041</v>
      </c>
      <c r="AL175" s="16">
        <f t="shared" si="161"/>
        <v>7.454349724778095</v>
      </c>
      <c r="AM175" s="16">
        <f t="shared" si="162"/>
        <v>0.33920337984685067</v>
      </c>
      <c r="AN175" s="16">
        <f t="shared" si="163"/>
        <v>7.314199825320415</v>
      </c>
      <c r="AO175" s="16">
        <f t="shared" si="164"/>
        <v>9.9039262283427778</v>
      </c>
      <c r="AP175" s="16">
        <f t="shared" si="165"/>
        <v>2.935023256758678</v>
      </c>
      <c r="AQ175" s="16">
        <f t="shared" si="166"/>
        <v>0.18381979566550888</v>
      </c>
      <c r="AR175" s="16">
        <f t="shared" si="167"/>
        <v>0.27928421993378427</v>
      </c>
      <c r="AS175" s="16">
        <f t="shared" si="168"/>
        <v>100.00000000000001</v>
      </c>
      <c r="AT175" s="16">
        <f t="shared" si="169"/>
        <v>13.14967806146284</v>
      </c>
      <c r="AV175" s="1" t="s">
        <v>402</v>
      </c>
      <c r="AY175" s="34"/>
      <c r="AZ175" s="34"/>
      <c r="BA175" s="6">
        <v>417</v>
      </c>
      <c r="BB175" s="34"/>
      <c r="BC175" s="6">
        <v>119</v>
      </c>
      <c r="BD175" s="34"/>
      <c r="BE175" s="34"/>
      <c r="BF175" s="34"/>
      <c r="BG175" s="6">
        <v>65</v>
      </c>
      <c r="BH175" s="34"/>
      <c r="BI175" s="6">
        <v>221</v>
      </c>
      <c r="BJ175" s="34"/>
      <c r="BK175" s="6">
        <v>142</v>
      </c>
      <c r="BN175" s="34"/>
      <c r="BO175" s="34"/>
      <c r="BP175" s="34"/>
      <c r="BQ175" s="1">
        <v>191</v>
      </c>
      <c r="BR175" s="34"/>
      <c r="BS175" s="1">
        <v>34</v>
      </c>
      <c r="BT175" s="34"/>
      <c r="BU175" s="1">
        <v>198</v>
      </c>
      <c r="BV175" s="34"/>
      <c r="BW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</row>
    <row r="176" spans="1:98">
      <c r="A176" s="1" t="s">
        <v>289</v>
      </c>
      <c r="B176" s="1" t="s">
        <v>290</v>
      </c>
      <c r="C176" s="35" t="s">
        <v>354</v>
      </c>
      <c r="D176" s="63">
        <v>67.22</v>
      </c>
      <c r="E176" s="63">
        <v>2.93</v>
      </c>
      <c r="F176" s="1" t="s">
        <v>308</v>
      </c>
      <c r="G176" s="1" t="s">
        <v>234</v>
      </c>
      <c r="I176" s="68">
        <f>803.8+0.61</f>
        <v>804.41</v>
      </c>
      <c r="J176" s="1" t="s">
        <v>256</v>
      </c>
      <c r="K176" s="1" t="s">
        <v>52</v>
      </c>
      <c r="L176" s="1" t="s">
        <v>864</v>
      </c>
      <c r="M176" s="78" t="s">
        <v>862</v>
      </c>
      <c r="N176" s="78"/>
      <c r="P176" s="1" t="s">
        <v>399</v>
      </c>
      <c r="Q176" s="1" t="s">
        <v>403</v>
      </c>
      <c r="R176" s="4">
        <v>46.920999999999999</v>
      </c>
      <c r="S176" s="4">
        <v>2.0270000000000001</v>
      </c>
      <c r="T176" s="4">
        <v>13.452999999999999</v>
      </c>
      <c r="U176" s="4">
        <v>9.4640000000000004</v>
      </c>
      <c r="V176" s="4">
        <v>5.09</v>
      </c>
      <c r="W176" s="4">
        <v>0.16300000000000001</v>
      </c>
      <c r="X176" s="4">
        <v>8.4979999999999993</v>
      </c>
      <c r="Y176" s="4">
        <v>9.3689999999999998</v>
      </c>
      <c r="Z176" s="4">
        <v>2.46</v>
      </c>
      <c r="AA176" s="4">
        <v>0.40300000000000002</v>
      </c>
      <c r="AB176" s="4">
        <v>0.14599999999999999</v>
      </c>
      <c r="AC176" s="67">
        <v>1.7969999999999999</v>
      </c>
      <c r="AD176" s="23">
        <f t="shared" ref="AD176:AD207" si="171">SUM(R176:AB176)+AC176</f>
        <v>99.790999999999997</v>
      </c>
      <c r="AE176" s="21">
        <f t="shared" ref="AE176:AE209" si="172">V176+0.899*U176</f>
        <v>13.598136</v>
      </c>
      <c r="AF176" s="23">
        <f t="shared" ref="AF176:AF207" si="173">(X176/40.3)/((X176/40.3)+(AE176/71.844))</f>
        <v>0.52698469221676625</v>
      </c>
      <c r="AH176" s="16">
        <f t="shared" ref="AH176:AH209" si="174">100*R176/SUM($R176:$AB176)</f>
        <v>47.881502949160158</v>
      </c>
      <c r="AI176" s="16">
        <f t="shared" ref="AI176:AI209" si="175">100*S176/SUM($R176:$AB176)</f>
        <v>2.0684939894279242</v>
      </c>
      <c r="AJ176" s="16">
        <f t="shared" ref="AJ176:AJ209" si="176">100*T176/SUM($R176:$AB176)</f>
        <v>13.728391534175561</v>
      </c>
      <c r="AK176" s="16">
        <f t="shared" ref="AK176:AK209" si="177">100*U176/SUM($R176:$AB176)</f>
        <v>9.6577341469885916</v>
      </c>
      <c r="AL176" s="16">
        <f t="shared" ref="AL176:AL209" si="178">100*V176/SUM($R176:$AB176)</f>
        <v>5.1941955629936523</v>
      </c>
      <c r="AM176" s="16">
        <f t="shared" ref="AM176:AM209" si="179">100*W176/SUM($R176:$AB176)</f>
        <v>0.16633671449272405</v>
      </c>
      <c r="AN176" s="16">
        <f t="shared" ref="AN176:AN209" si="180">100*X176/SUM($R176:$AB176)</f>
        <v>8.6719595077249618</v>
      </c>
      <c r="AO176" s="16">
        <f t="shared" ref="AO176:AO209" si="181">100*Y176/SUM($R176:$AB176)</f>
        <v>9.5607894360879229</v>
      </c>
      <c r="AP176" s="16">
        <f t="shared" ref="AP176:AP209" si="182">100*Z176/SUM($R176:$AB176)</f>
        <v>2.5103577770067553</v>
      </c>
      <c r="AQ176" s="16">
        <f t="shared" ref="AQ176:AQ209" si="183">100*AA176/SUM($R176:$AB176)</f>
        <v>0.41124966834704169</v>
      </c>
      <c r="AR176" s="16">
        <f t="shared" ref="AR176:AR209" si="184">100*AB176/SUM($R176:$AB176)</f>
        <v>0.14898871359470989</v>
      </c>
      <c r="AS176" s="16">
        <f t="shared" ref="AS176:AS207" si="185">SUM(AH176:AR176)</f>
        <v>100.00000000000001</v>
      </c>
      <c r="AT176" s="16">
        <f t="shared" ref="AT176:AT209" si="186">AL176+0.899*AK176</f>
        <v>13.876498561136396</v>
      </c>
      <c r="AV176" s="1" t="s">
        <v>402</v>
      </c>
      <c r="AY176" s="34"/>
      <c r="AZ176" s="34"/>
      <c r="BA176" s="6">
        <v>344</v>
      </c>
      <c r="BB176" s="34"/>
      <c r="BC176" s="6">
        <v>174</v>
      </c>
      <c r="BD176" s="34"/>
      <c r="BE176" s="34"/>
      <c r="BF176" s="34"/>
      <c r="BG176" s="6">
        <v>91</v>
      </c>
      <c r="BH176" s="34"/>
      <c r="BI176" s="6">
        <v>200</v>
      </c>
      <c r="BJ176" s="34"/>
      <c r="BK176" s="6">
        <v>105</v>
      </c>
      <c r="BN176" s="34"/>
      <c r="BO176" s="34"/>
      <c r="BP176" s="34"/>
      <c r="BQ176" s="1">
        <v>181</v>
      </c>
      <c r="BR176" s="34"/>
      <c r="BS176" s="1">
        <v>27</v>
      </c>
      <c r="BT176" s="34"/>
      <c r="BU176" s="1">
        <v>157</v>
      </c>
      <c r="BV176" s="34"/>
      <c r="BW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</row>
    <row r="177" spans="1:98">
      <c r="A177" s="1" t="s">
        <v>289</v>
      </c>
      <c r="B177" s="1" t="s">
        <v>290</v>
      </c>
      <c r="C177" s="35" t="s">
        <v>355</v>
      </c>
      <c r="D177" s="63">
        <v>67.22</v>
      </c>
      <c r="E177" s="63">
        <v>2.93</v>
      </c>
      <c r="F177" s="1" t="s">
        <v>308</v>
      </c>
      <c r="G177" s="36" t="s">
        <v>172</v>
      </c>
      <c r="H177" s="36"/>
      <c r="I177" s="68">
        <f>815.8+0.65</f>
        <v>816.44999999999993</v>
      </c>
      <c r="J177" s="1" t="s">
        <v>256</v>
      </c>
      <c r="K177" s="1" t="s">
        <v>52</v>
      </c>
      <c r="L177" s="1" t="s">
        <v>864</v>
      </c>
      <c r="M177" s="78" t="s">
        <v>862</v>
      </c>
      <c r="N177" s="78"/>
      <c r="P177" s="1" t="s">
        <v>399</v>
      </c>
      <c r="Q177" s="1" t="s">
        <v>403</v>
      </c>
      <c r="R177" s="4">
        <v>49.18</v>
      </c>
      <c r="S177" s="4">
        <v>1.853</v>
      </c>
      <c r="T177" s="4">
        <v>13.862</v>
      </c>
      <c r="U177" s="4">
        <v>3.9670000000000001</v>
      </c>
      <c r="V177" s="4">
        <v>8.08</v>
      </c>
      <c r="W177" s="4">
        <v>0.218</v>
      </c>
      <c r="X177" s="4">
        <v>7.1680000000000001</v>
      </c>
      <c r="Y177" s="4">
        <v>11.356</v>
      </c>
      <c r="Z177" s="4">
        <v>2.57</v>
      </c>
      <c r="AA177" s="4">
        <v>0.17</v>
      </c>
      <c r="AB177" s="4">
        <v>0.17899999999999999</v>
      </c>
      <c r="AC177" s="67">
        <v>0.94899999999999995</v>
      </c>
      <c r="AD177" s="23">
        <f t="shared" si="171"/>
        <v>99.551999999999992</v>
      </c>
      <c r="AE177" s="21">
        <f t="shared" si="172"/>
        <v>11.646333</v>
      </c>
      <c r="AF177" s="23">
        <f t="shared" si="173"/>
        <v>0.52317861049366265</v>
      </c>
      <c r="AH177" s="16">
        <f t="shared" si="174"/>
        <v>49.876778597000097</v>
      </c>
      <c r="AI177" s="16">
        <f t="shared" si="175"/>
        <v>1.8792531667393488</v>
      </c>
      <c r="AJ177" s="16">
        <f t="shared" si="176"/>
        <v>14.058395789174773</v>
      </c>
      <c r="AK177" s="16">
        <f t="shared" si="177"/>
        <v>4.0232041621451682</v>
      </c>
      <c r="AL177" s="16">
        <f t="shared" si="178"/>
        <v>8.1944768414754119</v>
      </c>
      <c r="AM177" s="16">
        <f t="shared" si="179"/>
        <v>0.2210886078516881</v>
      </c>
      <c r="AN177" s="16">
        <f t="shared" si="180"/>
        <v>7.2695556930316529</v>
      </c>
      <c r="AO177" s="16">
        <f t="shared" si="181"/>
        <v>11.516890966806283</v>
      </c>
      <c r="AP177" s="16">
        <f t="shared" si="182"/>
        <v>2.6064115696276993</v>
      </c>
      <c r="AQ177" s="16">
        <f t="shared" si="183"/>
        <v>0.17240854740727971</v>
      </c>
      <c r="AR177" s="16">
        <f t="shared" si="184"/>
        <v>0.18153605874060627</v>
      </c>
      <c r="AS177" s="16">
        <f t="shared" si="185"/>
        <v>99.999999999999986</v>
      </c>
      <c r="AT177" s="16">
        <f t="shared" si="186"/>
        <v>11.811337383243918</v>
      </c>
      <c r="AV177" s="1" t="s">
        <v>402</v>
      </c>
      <c r="AY177" s="34">
        <v>43.022015189430988</v>
      </c>
      <c r="AZ177" s="34">
        <v>338.92354891805218</v>
      </c>
      <c r="BA177" s="6">
        <v>342</v>
      </c>
      <c r="BB177" s="34">
        <v>194.25425656838942</v>
      </c>
      <c r="BC177" s="6">
        <v>182</v>
      </c>
      <c r="BD177" s="34">
        <v>44.926341124938823</v>
      </c>
      <c r="BE177" s="34"/>
      <c r="BF177" s="34">
        <v>82.535153862303545</v>
      </c>
      <c r="BG177" s="6">
        <v>89</v>
      </c>
      <c r="BH177" s="34">
        <v>149.76011696245189</v>
      </c>
      <c r="BI177" s="6">
        <v>153</v>
      </c>
      <c r="BJ177" s="34">
        <v>100.48023941036438</v>
      </c>
      <c r="BK177" s="6">
        <v>97</v>
      </c>
      <c r="BN177" s="34">
        <v>0.56441428350978562</v>
      </c>
      <c r="BO177" s="34"/>
      <c r="BP177" s="34">
        <v>176.96986223956333</v>
      </c>
      <c r="BQ177" s="1">
        <v>174</v>
      </c>
      <c r="BR177" s="34">
        <v>32.469886396517673</v>
      </c>
      <c r="BS177" s="1">
        <v>26</v>
      </c>
      <c r="BT177" s="34">
        <v>107.98815710556927</v>
      </c>
      <c r="BU177" s="1">
        <v>104</v>
      </c>
      <c r="BV177" s="34">
        <v>7.2985438600838783</v>
      </c>
      <c r="BW177" s="34"/>
      <c r="BZ177" s="34">
        <v>5.9108955251307882E-2</v>
      </c>
      <c r="CA177" s="34">
        <v>45.538123238144401</v>
      </c>
      <c r="CB177" s="34">
        <v>7.0804833344945406</v>
      </c>
      <c r="CC177" s="34">
        <v>17.655497372082316</v>
      </c>
      <c r="CD177" s="34">
        <v>2.6131317728054078</v>
      </c>
      <c r="CE177" s="34">
        <v>13.148473344105115</v>
      </c>
      <c r="CF177" s="34">
        <v>4.0294226721091198</v>
      </c>
      <c r="CG177" s="34">
        <v>1.4323994115651626</v>
      </c>
      <c r="CH177" s="34">
        <v>4.6900000000000004</v>
      </c>
      <c r="CI177" s="34">
        <v>0.8817074817457442</v>
      </c>
      <c r="CJ177" s="34">
        <v>5.3246361131978768</v>
      </c>
      <c r="CK177" s="34">
        <v>1.1467353584434488</v>
      </c>
      <c r="CL177" s="34">
        <v>3.1685988635032403</v>
      </c>
      <c r="CM177" s="34">
        <v>0.44214357027204459</v>
      </c>
      <c r="CN177" s="34">
        <v>2.8973632461162051</v>
      </c>
      <c r="CO177" s="34">
        <v>0.44765457525132946</v>
      </c>
      <c r="CP177" s="34">
        <v>2.706206960872688</v>
      </c>
      <c r="CQ177" s="34">
        <v>0.4324062887102253</v>
      </c>
      <c r="CR177" s="34">
        <v>0.85712483915442006</v>
      </c>
      <c r="CS177" s="34">
        <v>0.61580422845995486</v>
      </c>
      <c r="CT177" s="34">
        <v>0.18886350745686178</v>
      </c>
    </row>
    <row r="178" spans="1:98">
      <c r="A178" s="1" t="s">
        <v>289</v>
      </c>
      <c r="B178" s="1" t="s">
        <v>290</v>
      </c>
      <c r="C178" s="35" t="s">
        <v>356</v>
      </c>
      <c r="D178" s="63">
        <v>67.22</v>
      </c>
      <c r="E178" s="63">
        <v>2.93</v>
      </c>
      <c r="F178" s="1" t="s">
        <v>308</v>
      </c>
      <c r="G178" s="1" t="s">
        <v>296</v>
      </c>
      <c r="I178" s="68">
        <f>820.18+1.24</f>
        <v>821.42</v>
      </c>
      <c r="J178" s="1" t="s">
        <v>256</v>
      </c>
      <c r="K178" s="1" t="s">
        <v>52</v>
      </c>
      <c r="L178" s="1" t="s">
        <v>864</v>
      </c>
      <c r="M178" s="78" t="s">
        <v>862</v>
      </c>
      <c r="N178" s="78"/>
      <c r="P178" s="1" t="s">
        <v>399</v>
      </c>
      <c r="Q178" s="1" t="s">
        <v>403</v>
      </c>
      <c r="R178" s="4">
        <v>47.982999999999997</v>
      </c>
      <c r="S178" s="4">
        <v>1.9339999999999999</v>
      </c>
      <c r="T178" s="4">
        <v>14.097</v>
      </c>
      <c r="U178" s="4">
        <v>8.9090000000000007</v>
      </c>
      <c r="V178" s="4">
        <v>4.2300000000000004</v>
      </c>
      <c r="W178" s="4">
        <v>0.13400000000000001</v>
      </c>
      <c r="X178" s="4">
        <v>7.3360000000000003</v>
      </c>
      <c r="Y178" s="4">
        <v>9.468</v>
      </c>
      <c r="Z178" s="4">
        <v>2.68</v>
      </c>
      <c r="AA178" s="4">
        <v>0.51500000000000001</v>
      </c>
      <c r="AB178" s="4">
        <v>0.221</v>
      </c>
      <c r="AC178" s="67">
        <v>1.7709999999999999</v>
      </c>
      <c r="AD178" s="23">
        <f t="shared" si="171"/>
        <v>99.27800000000002</v>
      </c>
      <c r="AE178" s="21">
        <f t="shared" si="172"/>
        <v>12.239191000000002</v>
      </c>
      <c r="AF178" s="23">
        <f t="shared" si="173"/>
        <v>0.51656797906845942</v>
      </c>
      <c r="AH178" s="16">
        <f t="shared" si="174"/>
        <v>49.209800322028144</v>
      </c>
      <c r="AI178" s="16">
        <f t="shared" si="175"/>
        <v>1.9834473422420951</v>
      </c>
      <c r="AJ178" s="16">
        <f t="shared" si="176"/>
        <v>14.457423569589873</v>
      </c>
      <c r="AK178" s="16">
        <f t="shared" si="177"/>
        <v>9.1367799234926714</v>
      </c>
      <c r="AL178" s="16">
        <f t="shared" si="178"/>
        <v>4.3381500815326079</v>
      </c>
      <c r="AM178" s="16">
        <f t="shared" si="179"/>
        <v>0.13742603095162395</v>
      </c>
      <c r="AN178" s="16">
        <f t="shared" si="180"/>
        <v>7.523562410903831</v>
      </c>
      <c r="AO178" s="16">
        <f t="shared" si="181"/>
        <v>9.7100720973878776</v>
      </c>
      <c r="AP178" s="16">
        <f t="shared" si="182"/>
        <v>2.7485206190324791</v>
      </c>
      <c r="AQ178" s="16">
        <f t="shared" si="183"/>
        <v>0.52816720850810706</v>
      </c>
      <c r="AR178" s="16">
        <f t="shared" si="184"/>
        <v>0.22665039433066342</v>
      </c>
      <c r="AS178" s="16">
        <f t="shared" si="185"/>
        <v>99.999999999999972</v>
      </c>
      <c r="AT178" s="16">
        <f t="shared" si="186"/>
        <v>12.55211523275252</v>
      </c>
      <c r="AV178" s="1" t="s">
        <v>402</v>
      </c>
      <c r="AY178" s="34"/>
      <c r="AZ178" s="34"/>
      <c r="BA178" s="6">
        <v>327</v>
      </c>
      <c r="BB178" s="34"/>
      <c r="BC178" s="6">
        <v>196</v>
      </c>
      <c r="BD178" s="34"/>
      <c r="BE178" s="34"/>
      <c r="BF178" s="34"/>
      <c r="BG178" s="6">
        <v>81</v>
      </c>
      <c r="BH178" s="34"/>
      <c r="BI178" s="6">
        <v>121</v>
      </c>
      <c r="BJ178" s="34"/>
      <c r="BK178" s="6">
        <v>102</v>
      </c>
      <c r="BN178" s="34"/>
      <c r="BO178" s="34"/>
      <c r="BP178" s="34"/>
      <c r="BQ178" s="1">
        <v>180</v>
      </c>
      <c r="BR178" s="34"/>
      <c r="BS178" s="1">
        <v>28</v>
      </c>
      <c r="BT178" s="34"/>
      <c r="BU178" s="1">
        <v>140</v>
      </c>
      <c r="BV178" s="34"/>
      <c r="BW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</row>
    <row r="179" spans="1:98">
      <c r="A179" s="1" t="s">
        <v>289</v>
      </c>
      <c r="B179" s="1" t="s">
        <v>290</v>
      </c>
      <c r="C179" s="35" t="s">
        <v>358</v>
      </c>
      <c r="D179" s="63">
        <v>67.22</v>
      </c>
      <c r="E179" s="63">
        <v>2.93</v>
      </c>
      <c r="F179" s="1" t="s">
        <v>308</v>
      </c>
      <c r="G179" s="1" t="s">
        <v>227</v>
      </c>
      <c r="I179" s="68">
        <f>821.68+0.8</f>
        <v>822.4799999999999</v>
      </c>
      <c r="J179" s="1" t="s">
        <v>256</v>
      </c>
      <c r="K179" s="1" t="s">
        <v>52</v>
      </c>
      <c r="L179" s="1" t="s">
        <v>864</v>
      </c>
      <c r="M179" s="78" t="s">
        <v>862</v>
      </c>
      <c r="N179" s="78"/>
      <c r="P179" s="1" t="s">
        <v>399</v>
      </c>
      <c r="Q179" s="1" t="s">
        <v>403</v>
      </c>
      <c r="R179" s="4">
        <v>49.066000000000003</v>
      </c>
      <c r="S179" s="4">
        <v>1.8109999999999999</v>
      </c>
      <c r="T179" s="4">
        <v>13.615</v>
      </c>
      <c r="U179" s="4">
        <v>10.987</v>
      </c>
      <c r="V179" s="4">
        <v>2.62</v>
      </c>
      <c r="W179" s="4">
        <v>6.9000000000000006E-2</v>
      </c>
      <c r="X179" s="4">
        <v>8.6649999999999991</v>
      </c>
      <c r="Y179" s="4">
        <v>5.3739999999999997</v>
      </c>
      <c r="Z179" s="4">
        <v>2.86</v>
      </c>
      <c r="AA179" s="4">
        <v>0.95299999999999996</v>
      </c>
      <c r="AB179" s="4">
        <v>0.151</v>
      </c>
      <c r="AC179" s="67">
        <v>3.0219999999999998</v>
      </c>
      <c r="AD179" s="23">
        <f t="shared" si="171"/>
        <v>99.192999999999998</v>
      </c>
      <c r="AE179" s="21">
        <f t="shared" si="172"/>
        <v>12.497313000000002</v>
      </c>
      <c r="AF179" s="23">
        <f t="shared" si="173"/>
        <v>0.55278357124381861</v>
      </c>
      <c r="AH179" s="16">
        <f t="shared" si="174"/>
        <v>51.019538114400397</v>
      </c>
      <c r="AI179" s="16">
        <f t="shared" si="175"/>
        <v>1.8831040542367243</v>
      </c>
      <c r="AJ179" s="16">
        <f t="shared" si="176"/>
        <v>14.157074377930979</v>
      </c>
      <c r="AK179" s="16">
        <f t="shared" si="177"/>
        <v>11.424441879568686</v>
      </c>
      <c r="AL179" s="16">
        <f t="shared" si="178"/>
        <v>2.7243139823855427</v>
      </c>
      <c r="AM179" s="16">
        <f t="shared" si="179"/>
        <v>7.1747200299466588E-2</v>
      </c>
      <c r="AN179" s="16">
        <f t="shared" si="180"/>
        <v>9.0099926173170708</v>
      </c>
      <c r="AO179" s="16">
        <f t="shared" si="181"/>
        <v>5.5879631073816434</v>
      </c>
      <c r="AP179" s="16">
        <f t="shared" si="182"/>
        <v>2.973869461688035</v>
      </c>
      <c r="AQ179" s="16">
        <f t="shared" si="183"/>
        <v>0.99094321573031374</v>
      </c>
      <c r="AR179" s="16">
        <f t="shared" si="184"/>
        <v>0.15701198906115149</v>
      </c>
      <c r="AS179" s="16">
        <f t="shared" si="185"/>
        <v>100</v>
      </c>
      <c r="AT179" s="16">
        <f t="shared" si="186"/>
        <v>12.994887232117792</v>
      </c>
      <c r="AV179" s="1" t="s">
        <v>402</v>
      </c>
      <c r="AY179" s="34"/>
      <c r="AZ179" s="34"/>
      <c r="BA179" s="6">
        <v>283</v>
      </c>
      <c r="BB179" s="34"/>
      <c r="BC179" s="6">
        <v>164</v>
      </c>
      <c r="BD179" s="34"/>
      <c r="BE179" s="34"/>
      <c r="BF179" s="34"/>
      <c r="BG179" s="6">
        <v>72</v>
      </c>
      <c r="BH179" s="34"/>
      <c r="BI179" s="6">
        <v>115</v>
      </c>
      <c r="BJ179" s="34"/>
      <c r="BK179" s="6">
        <v>116</v>
      </c>
      <c r="BN179" s="34"/>
      <c r="BO179" s="34"/>
      <c r="BP179" s="34"/>
      <c r="BQ179" s="1">
        <v>176</v>
      </c>
      <c r="BR179" s="34"/>
      <c r="BS179" s="1">
        <v>18</v>
      </c>
      <c r="BT179" s="34"/>
      <c r="BU179" s="1">
        <v>133</v>
      </c>
      <c r="BV179" s="34"/>
      <c r="BW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</row>
    <row r="180" spans="1:98">
      <c r="A180" s="1" t="s">
        <v>289</v>
      </c>
      <c r="B180" s="1" t="s">
        <v>290</v>
      </c>
      <c r="C180" s="35" t="s">
        <v>357</v>
      </c>
      <c r="D180" s="63">
        <v>67.22</v>
      </c>
      <c r="E180" s="63">
        <v>2.93</v>
      </c>
      <c r="F180" s="1" t="s">
        <v>308</v>
      </c>
      <c r="G180" s="36" t="s">
        <v>227</v>
      </c>
      <c r="H180" s="36"/>
      <c r="I180" s="68">
        <f>821.68+0.84</f>
        <v>822.52</v>
      </c>
      <c r="J180" s="1" t="s">
        <v>256</v>
      </c>
      <c r="K180" s="1" t="s">
        <v>52</v>
      </c>
      <c r="L180" s="1" t="s">
        <v>864</v>
      </c>
      <c r="M180" s="78" t="s">
        <v>862</v>
      </c>
      <c r="N180" s="78"/>
      <c r="P180" s="1" t="s">
        <v>399</v>
      </c>
      <c r="Q180" s="1" t="s">
        <v>403</v>
      </c>
      <c r="R180" s="4">
        <v>47.695</v>
      </c>
      <c r="S180" s="4">
        <v>1.9319999999999999</v>
      </c>
      <c r="T180" s="4">
        <v>13.141999999999999</v>
      </c>
      <c r="U180" s="4">
        <v>11.101000000000001</v>
      </c>
      <c r="V180" s="4">
        <v>4.01</v>
      </c>
      <c r="W180" s="4">
        <v>0.114</v>
      </c>
      <c r="X180" s="4">
        <v>8.8699999999999992</v>
      </c>
      <c r="Y180" s="4">
        <v>7.3</v>
      </c>
      <c r="Z180" s="4">
        <v>2.77</v>
      </c>
      <c r="AA180" s="4">
        <v>0.879</v>
      </c>
      <c r="AB180" s="4">
        <v>0.126</v>
      </c>
      <c r="AC180" s="67">
        <v>1.8660000000000001</v>
      </c>
      <c r="AD180" s="23">
        <f t="shared" si="171"/>
        <v>99.805000000000021</v>
      </c>
      <c r="AE180" s="21">
        <f t="shared" si="172"/>
        <v>13.989799000000001</v>
      </c>
      <c r="AF180" s="23">
        <f t="shared" si="173"/>
        <v>0.53058476964136803</v>
      </c>
      <c r="AH180" s="16">
        <f t="shared" si="174"/>
        <v>48.698679790481819</v>
      </c>
      <c r="AI180" s="16">
        <f t="shared" si="175"/>
        <v>1.9726564494225993</v>
      </c>
      <c r="AJ180" s="16">
        <f t="shared" si="176"/>
        <v>13.418556448401553</v>
      </c>
      <c r="AK180" s="16">
        <f t="shared" si="177"/>
        <v>11.334606234492897</v>
      </c>
      <c r="AL180" s="16">
        <f t="shared" si="178"/>
        <v>4.0943852806338628</v>
      </c>
      <c r="AM180" s="16">
        <f t="shared" si="179"/>
        <v>0.11639898304046394</v>
      </c>
      <c r="AN180" s="16">
        <f t="shared" si="180"/>
        <v>9.0566577155167973</v>
      </c>
      <c r="AO180" s="16">
        <f t="shared" si="181"/>
        <v>7.453619089433217</v>
      </c>
      <c r="AP180" s="16">
        <f t="shared" si="182"/>
        <v>2.8282910791410973</v>
      </c>
      <c r="AQ180" s="16">
        <f t="shared" si="183"/>
        <v>0.89749742186462989</v>
      </c>
      <c r="AR180" s="16">
        <f t="shared" si="184"/>
        <v>0.12865150757103908</v>
      </c>
      <c r="AS180" s="16">
        <f t="shared" si="185"/>
        <v>99.999999999999972</v>
      </c>
      <c r="AT180" s="16">
        <f t="shared" si="186"/>
        <v>14.284196285442977</v>
      </c>
      <c r="AV180" s="1" t="s">
        <v>402</v>
      </c>
      <c r="AY180" s="34">
        <v>45.15624166988605</v>
      </c>
      <c r="AZ180" s="34">
        <v>277.6936003513722</v>
      </c>
      <c r="BA180" s="6">
        <v>322</v>
      </c>
      <c r="BB180" s="34"/>
      <c r="BC180" s="6">
        <v>157</v>
      </c>
      <c r="BD180" s="34">
        <v>44.685151720833609</v>
      </c>
      <c r="BE180" s="34"/>
      <c r="BF180" s="34">
        <v>79.125397172698271</v>
      </c>
      <c r="BG180" s="6">
        <v>94</v>
      </c>
      <c r="BH180" s="34">
        <v>134.63001335311563</v>
      </c>
      <c r="BI180" s="6">
        <v>150</v>
      </c>
      <c r="BJ180" s="34">
        <v>97.330748106330077</v>
      </c>
      <c r="BK180" s="6">
        <v>105</v>
      </c>
      <c r="BN180" s="34">
        <v>4.3516771838754034</v>
      </c>
      <c r="BO180" s="34"/>
      <c r="BP180" s="34">
        <v>156.73216762182687</v>
      </c>
      <c r="BQ180" s="1">
        <v>168</v>
      </c>
      <c r="BR180" s="34">
        <v>22.127024424826882</v>
      </c>
      <c r="BS180" s="1">
        <v>25</v>
      </c>
      <c r="BT180" s="34">
        <v>97.165686493233281</v>
      </c>
      <c r="BU180" s="1">
        <v>120</v>
      </c>
      <c r="BV180" s="34">
        <v>4.3834626493172175</v>
      </c>
      <c r="BW180" s="34"/>
      <c r="BZ180" s="34">
        <v>7.6720485250645953E-2</v>
      </c>
      <c r="CA180" s="34">
        <v>35.20078134930381</v>
      </c>
      <c r="CB180" s="34">
        <v>4.8061837738074145</v>
      </c>
      <c r="CC180" s="34">
        <v>12.700775823101651</v>
      </c>
      <c r="CD180" s="34"/>
      <c r="CE180" s="34"/>
      <c r="CF180" s="34"/>
      <c r="CG180" s="34"/>
      <c r="CH180" s="34"/>
      <c r="CI180" s="34"/>
      <c r="CJ180" s="34">
        <v>3.7951917923557326</v>
      </c>
      <c r="CK180" s="34">
        <v>0.79935484451107497</v>
      </c>
      <c r="CL180" s="34"/>
      <c r="CM180" s="34">
        <v>0.30807946277898757</v>
      </c>
      <c r="CN180" s="34"/>
      <c r="CO180" s="34"/>
      <c r="CP180" s="34">
        <v>2.4913251927653124</v>
      </c>
      <c r="CQ180" s="34">
        <v>0.31241080049795211</v>
      </c>
      <c r="CR180" s="34">
        <v>0.92176409244675439</v>
      </c>
      <c r="CS180" s="34">
        <v>0.58667873899748368</v>
      </c>
      <c r="CT180" s="34">
        <v>0.12857543649789202</v>
      </c>
    </row>
    <row r="181" spans="1:98">
      <c r="A181" s="1" t="s">
        <v>289</v>
      </c>
      <c r="B181" s="1" t="s">
        <v>290</v>
      </c>
      <c r="C181" s="35" t="s">
        <v>359</v>
      </c>
      <c r="D181" s="63">
        <v>67.22</v>
      </c>
      <c r="E181" s="63">
        <v>2.93</v>
      </c>
      <c r="F181" s="1" t="s">
        <v>308</v>
      </c>
      <c r="G181" s="1" t="s">
        <v>189</v>
      </c>
      <c r="I181" s="68">
        <f>837.51+0.7</f>
        <v>838.21</v>
      </c>
      <c r="J181" s="1" t="s">
        <v>256</v>
      </c>
      <c r="K181" s="1" t="s">
        <v>52</v>
      </c>
      <c r="L181" s="1" t="s">
        <v>864</v>
      </c>
      <c r="M181" s="78" t="s">
        <v>862</v>
      </c>
      <c r="N181" s="78"/>
      <c r="P181" s="1" t="s">
        <v>399</v>
      </c>
      <c r="Q181" s="1" t="s">
        <v>403</v>
      </c>
      <c r="R181" s="4">
        <v>48.621000000000002</v>
      </c>
      <c r="S181" s="4">
        <v>1.9990000000000001</v>
      </c>
      <c r="T181" s="4">
        <v>14.823</v>
      </c>
      <c r="U181" s="4">
        <v>5.6020000000000003</v>
      </c>
      <c r="V181" s="4">
        <v>5.51</v>
      </c>
      <c r="W181" s="4">
        <v>0.222</v>
      </c>
      <c r="X181" s="4">
        <v>7.3940000000000001</v>
      </c>
      <c r="Y181" s="4">
        <v>10.701000000000001</v>
      </c>
      <c r="Z181" s="4">
        <v>2.72</v>
      </c>
      <c r="AA181" s="4">
        <v>0.16400000000000001</v>
      </c>
      <c r="AB181" s="4">
        <v>0.193</v>
      </c>
      <c r="AC181" s="67">
        <v>1.5129999999999999</v>
      </c>
      <c r="AD181" s="23">
        <f t="shared" si="171"/>
        <v>99.462000000000018</v>
      </c>
      <c r="AE181" s="21">
        <f t="shared" si="172"/>
        <v>10.546198</v>
      </c>
      <c r="AF181" s="23">
        <f t="shared" si="173"/>
        <v>0.55553222855803452</v>
      </c>
      <c r="AH181" s="16">
        <f t="shared" si="174"/>
        <v>49.639097897885634</v>
      </c>
      <c r="AI181" s="16">
        <f t="shared" si="175"/>
        <v>2.0408579975293262</v>
      </c>
      <c r="AJ181" s="16">
        <f t="shared" si="176"/>
        <v>15.13338574155938</v>
      </c>
      <c r="AK181" s="16">
        <f t="shared" si="177"/>
        <v>5.7193029025309086</v>
      </c>
      <c r="AL181" s="16">
        <f t="shared" si="178"/>
        <v>5.625376471429008</v>
      </c>
      <c r="AM181" s="16">
        <f t="shared" si="179"/>
        <v>0.22664856200675859</v>
      </c>
      <c r="AN181" s="16">
        <f t="shared" si="180"/>
        <v>7.5488264300809593</v>
      </c>
      <c r="AO181" s="16">
        <f t="shared" si="181"/>
        <v>10.925073252406865</v>
      </c>
      <c r="AP181" s="16">
        <f t="shared" si="182"/>
        <v>2.776955354317042</v>
      </c>
      <c r="AQ181" s="16">
        <f t="shared" si="183"/>
        <v>0.1674340728338217</v>
      </c>
      <c r="AR181" s="16">
        <f t="shared" si="184"/>
        <v>0.19704131742029013</v>
      </c>
      <c r="AS181" s="16">
        <f t="shared" si="185"/>
        <v>100</v>
      </c>
      <c r="AT181" s="16">
        <f t="shared" si="186"/>
        <v>10.767029780804295</v>
      </c>
      <c r="AV181" s="1" t="s">
        <v>402</v>
      </c>
      <c r="AY181" s="34"/>
      <c r="AZ181" s="34"/>
      <c r="BA181" s="6">
        <v>363</v>
      </c>
      <c r="BB181" s="34"/>
      <c r="BC181" s="6">
        <v>233</v>
      </c>
      <c r="BD181" s="34"/>
      <c r="BE181" s="34"/>
      <c r="BF181" s="34"/>
      <c r="BG181" s="6">
        <v>80</v>
      </c>
      <c r="BH181" s="34"/>
      <c r="BI181" s="6">
        <v>249</v>
      </c>
      <c r="BJ181" s="34"/>
      <c r="BK181" s="6">
        <v>107</v>
      </c>
      <c r="BN181" s="34"/>
      <c r="BO181" s="34"/>
      <c r="BP181" s="34"/>
      <c r="BQ181" s="1">
        <v>184</v>
      </c>
      <c r="BR181" s="34"/>
      <c r="BS181" s="1">
        <v>22</v>
      </c>
      <c r="BT181" s="34"/>
      <c r="BU181" s="1">
        <v>143</v>
      </c>
      <c r="BV181" s="34"/>
      <c r="BW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</row>
    <row r="182" spans="1:98">
      <c r="A182" s="1" t="s">
        <v>289</v>
      </c>
      <c r="B182" s="1" t="s">
        <v>290</v>
      </c>
      <c r="C182" s="35" t="s">
        <v>360</v>
      </c>
      <c r="D182" s="63">
        <v>67.22</v>
      </c>
      <c r="E182" s="63">
        <v>2.93</v>
      </c>
      <c r="F182" s="1" t="s">
        <v>308</v>
      </c>
      <c r="G182" s="1" t="s">
        <v>228</v>
      </c>
      <c r="I182" s="68">
        <f>844.2+0.24</f>
        <v>844.44</v>
      </c>
      <c r="J182" s="1" t="s">
        <v>256</v>
      </c>
      <c r="K182" s="1" t="s">
        <v>52</v>
      </c>
      <c r="L182" s="1" t="s">
        <v>864</v>
      </c>
      <c r="M182" s="78" t="s">
        <v>862</v>
      </c>
      <c r="N182" s="78"/>
      <c r="P182" s="1" t="s">
        <v>399</v>
      </c>
      <c r="Q182" s="1" t="s">
        <v>403</v>
      </c>
      <c r="R182" s="4">
        <v>48.497999999999998</v>
      </c>
      <c r="S182" s="4">
        <v>2.37</v>
      </c>
      <c r="T182" s="4">
        <v>14.417999999999999</v>
      </c>
      <c r="U182" s="4">
        <v>9.4169999999999998</v>
      </c>
      <c r="V182" s="4">
        <v>4.3</v>
      </c>
      <c r="W182" s="4">
        <v>0.129</v>
      </c>
      <c r="X182" s="4">
        <v>6.7030000000000003</v>
      </c>
      <c r="Y182" s="4">
        <v>8.3529999999999998</v>
      </c>
      <c r="Z182" s="4">
        <v>3.01</v>
      </c>
      <c r="AA182" s="4">
        <v>0.503</v>
      </c>
      <c r="AB182" s="4">
        <v>0.24199999999999999</v>
      </c>
      <c r="AC182" s="67">
        <v>1.869</v>
      </c>
      <c r="AD182" s="23">
        <f t="shared" si="171"/>
        <v>99.812000000000012</v>
      </c>
      <c r="AE182" s="21">
        <f t="shared" si="172"/>
        <v>12.765882999999999</v>
      </c>
      <c r="AF182" s="23">
        <f t="shared" si="173"/>
        <v>0.48348715701175587</v>
      </c>
      <c r="AH182" s="16">
        <f t="shared" si="174"/>
        <v>49.516555547614423</v>
      </c>
      <c r="AI182" s="16">
        <f t="shared" si="175"/>
        <v>2.4197747669562908</v>
      </c>
      <c r="AJ182" s="16">
        <f t="shared" si="176"/>
        <v>14.720806999989788</v>
      </c>
      <c r="AK182" s="16">
        <f t="shared" si="177"/>
        <v>9.6147759411086025</v>
      </c>
      <c r="AL182" s="16">
        <f t="shared" si="178"/>
        <v>4.3903086489080376</v>
      </c>
      <c r="AM182" s="16">
        <f t="shared" si="179"/>
        <v>0.13170925946724113</v>
      </c>
      <c r="AN182" s="16">
        <f t="shared" si="180"/>
        <v>6.8437764822396696</v>
      </c>
      <c r="AO182" s="16">
        <f t="shared" si="181"/>
        <v>8.5284298010067072</v>
      </c>
      <c r="AP182" s="16">
        <f t="shared" si="182"/>
        <v>3.0732160542356266</v>
      </c>
      <c r="AQ182" s="16">
        <f t="shared" si="183"/>
        <v>0.513564011721103</v>
      </c>
      <c r="AR182" s="16">
        <f t="shared" si="184"/>
        <v>0.24708248675249886</v>
      </c>
      <c r="AS182" s="16">
        <f t="shared" si="185"/>
        <v>100</v>
      </c>
      <c r="AT182" s="16">
        <f t="shared" si="186"/>
        <v>13.033992219964672</v>
      </c>
      <c r="AV182" s="1" t="s">
        <v>402</v>
      </c>
      <c r="AY182" s="34"/>
      <c r="AZ182" s="34"/>
      <c r="BA182" s="6">
        <v>368</v>
      </c>
      <c r="BB182" s="34"/>
      <c r="BC182" s="6">
        <v>115</v>
      </c>
      <c r="BD182" s="34"/>
      <c r="BE182" s="34"/>
      <c r="BF182" s="34"/>
      <c r="BG182" s="6">
        <v>59</v>
      </c>
      <c r="BH182" s="34"/>
      <c r="BI182" s="6">
        <v>143</v>
      </c>
      <c r="BJ182" s="34"/>
      <c r="BK182" s="6">
        <v>137</v>
      </c>
      <c r="BN182" s="34"/>
      <c r="BO182" s="34"/>
      <c r="BP182" s="34"/>
      <c r="BQ182" s="1">
        <v>203</v>
      </c>
      <c r="BR182" s="34"/>
      <c r="BS182" s="1">
        <v>29</v>
      </c>
      <c r="BT182" s="34"/>
      <c r="BU182" s="1">
        <v>172</v>
      </c>
      <c r="BV182" s="34"/>
      <c r="BW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</row>
    <row r="183" spans="1:98">
      <c r="A183" s="1" t="s">
        <v>289</v>
      </c>
      <c r="B183" s="1" t="s">
        <v>290</v>
      </c>
      <c r="C183" s="35" t="s">
        <v>362</v>
      </c>
      <c r="D183" s="63">
        <v>67.22</v>
      </c>
      <c r="E183" s="63">
        <v>2.93</v>
      </c>
      <c r="F183" s="1" t="s">
        <v>308</v>
      </c>
      <c r="G183" s="1" t="s">
        <v>214</v>
      </c>
      <c r="I183" s="68">
        <f>853.7+0.55</f>
        <v>854.25</v>
      </c>
      <c r="J183" s="1" t="s">
        <v>256</v>
      </c>
      <c r="K183" s="1" t="s">
        <v>52</v>
      </c>
      <c r="L183" s="1" t="s">
        <v>864</v>
      </c>
      <c r="M183" s="78" t="s">
        <v>862</v>
      </c>
      <c r="N183" s="78"/>
      <c r="P183" s="1" t="s">
        <v>399</v>
      </c>
      <c r="Q183" s="1" t="s">
        <v>403</v>
      </c>
      <c r="R183" s="4">
        <v>48.917000000000002</v>
      </c>
      <c r="S183" s="4">
        <v>1.91</v>
      </c>
      <c r="T183" s="4">
        <v>14.893000000000001</v>
      </c>
      <c r="U183" s="4">
        <v>6.1029999999999998</v>
      </c>
      <c r="V183" s="4">
        <v>4.8899999999999997</v>
      </c>
      <c r="W183" s="4">
        <v>0.23300000000000001</v>
      </c>
      <c r="X183" s="4">
        <v>7.8520000000000003</v>
      </c>
      <c r="Y183" s="4">
        <v>9.9339999999999993</v>
      </c>
      <c r="Z183" s="4">
        <v>2.76</v>
      </c>
      <c r="AA183" s="4">
        <v>0.51200000000000001</v>
      </c>
      <c r="AB183" s="4">
        <v>0.17399999999999999</v>
      </c>
      <c r="AC183" s="67">
        <v>1.514</v>
      </c>
      <c r="AD183" s="23">
        <f t="shared" si="171"/>
        <v>99.692000000000007</v>
      </c>
      <c r="AE183" s="21">
        <f t="shared" si="172"/>
        <v>10.376597</v>
      </c>
      <c r="AF183" s="23">
        <f t="shared" si="173"/>
        <v>0.57428628272918181</v>
      </c>
      <c r="AH183" s="16">
        <f t="shared" si="174"/>
        <v>49.824808001792654</v>
      </c>
      <c r="AI183" s="16">
        <f t="shared" si="175"/>
        <v>1.9454460266047382</v>
      </c>
      <c r="AJ183" s="16">
        <f t="shared" si="176"/>
        <v>15.169386216871397</v>
      </c>
      <c r="AK183" s="16">
        <f t="shared" si="177"/>
        <v>6.21626026197315</v>
      </c>
      <c r="AL183" s="16">
        <f t="shared" si="178"/>
        <v>4.9807492513597742</v>
      </c>
      <c r="AM183" s="16">
        <f t="shared" si="179"/>
        <v>0.2373240440831958</v>
      </c>
      <c r="AN183" s="16">
        <f t="shared" si="180"/>
        <v>7.9977184297907877</v>
      </c>
      <c r="AO183" s="16">
        <f t="shared" si="181"/>
        <v>10.118356454602862</v>
      </c>
      <c r="AP183" s="16">
        <f t="shared" si="182"/>
        <v>2.8112204363503022</v>
      </c>
      <c r="AQ183" s="16">
        <f t="shared" si="183"/>
        <v>0.52150176210556332</v>
      </c>
      <c r="AR183" s="16">
        <f t="shared" si="184"/>
        <v>0.17722911446556253</v>
      </c>
      <c r="AS183" s="16">
        <f t="shared" si="185"/>
        <v>99.999999999999972</v>
      </c>
      <c r="AT183" s="16">
        <f t="shared" si="186"/>
        <v>10.569167226873637</v>
      </c>
      <c r="AV183" s="1" t="s">
        <v>402</v>
      </c>
      <c r="AY183" s="34"/>
      <c r="AZ183" s="34"/>
      <c r="BA183" s="6">
        <v>351</v>
      </c>
      <c r="BB183" s="34"/>
      <c r="BC183" s="6">
        <v>169</v>
      </c>
      <c r="BD183" s="34"/>
      <c r="BE183" s="34"/>
      <c r="BF183" s="34"/>
      <c r="BG183" s="6">
        <v>71</v>
      </c>
      <c r="BH183" s="34"/>
      <c r="BI183" s="6">
        <v>176</v>
      </c>
      <c r="BJ183" s="34"/>
      <c r="BK183" s="6">
        <v>111</v>
      </c>
      <c r="BN183" s="34"/>
      <c r="BO183" s="34"/>
      <c r="BP183" s="34"/>
      <c r="BQ183" s="1">
        <v>175</v>
      </c>
      <c r="BR183" s="34"/>
      <c r="BS183" s="1">
        <v>21</v>
      </c>
      <c r="BT183" s="34"/>
      <c r="BU183" s="1">
        <v>131</v>
      </c>
      <c r="BV183" s="34"/>
      <c r="BW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</row>
    <row r="184" spans="1:98">
      <c r="A184" s="1" t="s">
        <v>289</v>
      </c>
      <c r="B184" s="1" t="s">
        <v>290</v>
      </c>
      <c r="C184" s="35" t="s">
        <v>361</v>
      </c>
      <c r="D184" s="63">
        <v>67.22</v>
      </c>
      <c r="E184" s="63">
        <v>2.93</v>
      </c>
      <c r="F184" s="1" t="s">
        <v>308</v>
      </c>
      <c r="G184" s="1" t="s">
        <v>155</v>
      </c>
      <c r="I184" s="68">
        <f>853.7+1.37</f>
        <v>855.07</v>
      </c>
      <c r="J184" s="1" t="s">
        <v>256</v>
      </c>
      <c r="K184" s="1" t="s">
        <v>52</v>
      </c>
      <c r="L184" s="1" t="s">
        <v>864</v>
      </c>
      <c r="M184" s="78" t="s">
        <v>862</v>
      </c>
      <c r="N184" s="78"/>
      <c r="P184" s="1" t="s">
        <v>399</v>
      </c>
      <c r="Q184" s="1" t="s">
        <v>403</v>
      </c>
      <c r="R184" s="4">
        <v>48.347000000000001</v>
      </c>
      <c r="S184" s="4">
        <v>2.0470000000000002</v>
      </c>
      <c r="T184" s="4">
        <v>14.052</v>
      </c>
      <c r="U184" s="4">
        <v>8.2409999999999997</v>
      </c>
      <c r="V184" s="4">
        <v>4.5</v>
      </c>
      <c r="W184" s="4">
        <v>0.115</v>
      </c>
      <c r="X184" s="4">
        <v>7.7629999999999999</v>
      </c>
      <c r="Y184" s="4">
        <v>9.3879999999999999</v>
      </c>
      <c r="Z184" s="4">
        <v>2.69</v>
      </c>
      <c r="AA184" s="4">
        <v>0.222</v>
      </c>
      <c r="AB184" s="4">
        <v>0.221</v>
      </c>
      <c r="AC184" s="67">
        <v>1.831</v>
      </c>
      <c r="AD184" s="23">
        <f t="shared" si="171"/>
        <v>99.417000000000002</v>
      </c>
      <c r="AE184" s="21">
        <f t="shared" si="172"/>
        <v>11.908659</v>
      </c>
      <c r="AF184" s="23">
        <f t="shared" si="173"/>
        <v>0.53749167323828273</v>
      </c>
      <c r="AH184" s="16">
        <f t="shared" si="174"/>
        <v>49.542967228905788</v>
      </c>
      <c r="AI184" s="16">
        <f t="shared" si="175"/>
        <v>2.0976369561207551</v>
      </c>
      <c r="AJ184" s="16">
        <f t="shared" si="176"/>
        <v>14.399606500932512</v>
      </c>
      <c r="AK184" s="16">
        <f t="shared" si="177"/>
        <v>8.4448588936937661</v>
      </c>
      <c r="AL184" s="16">
        <f t="shared" si="178"/>
        <v>4.6113171971389342</v>
      </c>
      <c r="AM184" s="16">
        <f t="shared" si="179"/>
        <v>0.11784477281577276</v>
      </c>
      <c r="AN184" s="16">
        <f t="shared" si="180"/>
        <v>7.9550345336421202</v>
      </c>
      <c r="AO184" s="16">
        <f t="shared" si="181"/>
        <v>9.6202324103867358</v>
      </c>
      <c r="AP184" s="16">
        <f t="shared" si="182"/>
        <v>2.7565429467341627</v>
      </c>
      <c r="AQ184" s="16">
        <f t="shared" si="183"/>
        <v>0.22749164839218741</v>
      </c>
      <c r="AR184" s="16">
        <f t="shared" si="184"/>
        <v>0.22646691123726767</v>
      </c>
      <c r="AS184" s="16">
        <f t="shared" si="185"/>
        <v>99.999999999999986</v>
      </c>
      <c r="AT184" s="16">
        <f t="shared" si="186"/>
        <v>12.20324534256963</v>
      </c>
      <c r="AV184" s="1" t="s">
        <v>402</v>
      </c>
      <c r="AY184" s="34"/>
      <c r="AZ184" s="34"/>
      <c r="BA184" s="6">
        <v>372</v>
      </c>
      <c r="BB184" s="34"/>
      <c r="BC184" s="6">
        <v>304</v>
      </c>
      <c r="BD184" s="34"/>
      <c r="BE184" s="34"/>
      <c r="BF184" s="34"/>
      <c r="BG184" s="6">
        <v>62</v>
      </c>
      <c r="BH184" s="34"/>
      <c r="BI184" s="6">
        <v>93</v>
      </c>
      <c r="BJ184" s="34"/>
      <c r="BK184" s="6">
        <v>89</v>
      </c>
      <c r="BN184" s="34"/>
      <c r="BO184" s="34"/>
      <c r="BP184" s="34"/>
      <c r="BQ184" s="1">
        <v>167</v>
      </c>
      <c r="BR184" s="34"/>
      <c r="BS184" s="1">
        <v>24</v>
      </c>
      <c r="BT184" s="34"/>
      <c r="BU184" s="1">
        <v>136</v>
      </c>
      <c r="BV184" s="34"/>
      <c r="BW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</row>
    <row r="185" spans="1:98">
      <c r="A185" s="1" t="s">
        <v>289</v>
      </c>
      <c r="B185" s="1" t="s">
        <v>290</v>
      </c>
      <c r="C185" s="35" t="s">
        <v>363</v>
      </c>
      <c r="D185" s="63">
        <v>67.22</v>
      </c>
      <c r="E185" s="63">
        <v>2.93</v>
      </c>
      <c r="F185" s="1" t="s">
        <v>308</v>
      </c>
      <c r="G185" s="1" t="s">
        <v>292</v>
      </c>
      <c r="I185" s="68">
        <f>855.2+1.24</f>
        <v>856.44</v>
      </c>
      <c r="J185" s="1" t="s">
        <v>256</v>
      </c>
      <c r="K185" s="1" t="s">
        <v>52</v>
      </c>
      <c r="L185" s="1" t="s">
        <v>864</v>
      </c>
      <c r="M185" s="78" t="s">
        <v>862</v>
      </c>
      <c r="N185" s="78"/>
      <c r="P185" s="1" t="s">
        <v>399</v>
      </c>
      <c r="Q185" s="1" t="s">
        <v>403</v>
      </c>
      <c r="R185" s="4">
        <v>48.973999999999997</v>
      </c>
      <c r="S185" s="4">
        <v>1.8979999999999999</v>
      </c>
      <c r="T185" s="4">
        <v>14.314</v>
      </c>
      <c r="U185" s="4">
        <v>5.84</v>
      </c>
      <c r="V185" s="4">
        <v>5.7</v>
      </c>
      <c r="W185" s="4">
        <v>0.191</v>
      </c>
      <c r="X185" s="4">
        <v>7.7110000000000003</v>
      </c>
      <c r="Y185" s="4">
        <v>10.632999999999999</v>
      </c>
      <c r="Z185" s="4">
        <v>2.58</v>
      </c>
      <c r="AA185" s="4">
        <v>0.157</v>
      </c>
      <c r="AB185" s="4">
        <v>0.187</v>
      </c>
      <c r="AC185" s="67">
        <v>1.4039999999999999</v>
      </c>
      <c r="AD185" s="23">
        <f t="shared" si="171"/>
        <v>99.588999999999999</v>
      </c>
      <c r="AE185" s="21">
        <f t="shared" si="172"/>
        <v>10.95016</v>
      </c>
      <c r="AF185" s="23">
        <f t="shared" si="173"/>
        <v>0.55661601547331374</v>
      </c>
      <c r="AH185" s="16">
        <f t="shared" si="174"/>
        <v>49.879309466822832</v>
      </c>
      <c r="AI185" s="16">
        <f t="shared" si="175"/>
        <v>1.9330855018587358</v>
      </c>
      <c r="AJ185" s="16">
        <f t="shared" si="176"/>
        <v>14.578601619391964</v>
      </c>
      <c r="AK185" s="16">
        <f t="shared" si="177"/>
        <v>5.9479553903345721</v>
      </c>
      <c r="AL185" s="16">
        <f t="shared" si="178"/>
        <v>5.8053674186484692</v>
      </c>
      <c r="AM185" s="16">
        <f t="shared" si="179"/>
        <v>0.19453073280032593</v>
      </c>
      <c r="AN185" s="16">
        <f t="shared" si="180"/>
        <v>7.853541783368132</v>
      </c>
      <c r="AO185" s="16">
        <f t="shared" si="181"/>
        <v>10.829556449559504</v>
      </c>
      <c r="AP185" s="16">
        <f t="shared" si="182"/>
        <v>2.6276926210724652</v>
      </c>
      <c r="AQ185" s="16">
        <f t="shared" si="183"/>
        <v>0.15990222539084381</v>
      </c>
      <c r="AR185" s="16">
        <f t="shared" si="184"/>
        <v>0.19045679075215155</v>
      </c>
      <c r="AS185" s="16">
        <f t="shared" si="185"/>
        <v>100</v>
      </c>
      <c r="AT185" s="16">
        <f t="shared" si="186"/>
        <v>11.152579314559251</v>
      </c>
      <c r="AV185" s="1" t="s">
        <v>402</v>
      </c>
      <c r="AY185" s="34"/>
      <c r="AZ185" s="34"/>
      <c r="BA185" s="6">
        <v>361</v>
      </c>
      <c r="BB185" s="34"/>
      <c r="BC185" s="6">
        <v>307</v>
      </c>
      <c r="BD185" s="34"/>
      <c r="BE185" s="34"/>
      <c r="BF185" s="34"/>
      <c r="BG185" s="6">
        <v>75</v>
      </c>
      <c r="BH185" s="34"/>
      <c r="BI185" s="6">
        <v>224</v>
      </c>
      <c r="BJ185" s="34"/>
      <c r="BK185" s="6">
        <v>114</v>
      </c>
      <c r="BN185" s="34"/>
      <c r="BO185" s="34"/>
      <c r="BP185" s="34"/>
      <c r="BQ185" s="1">
        <v>172</v>
      </c>
      <c r="BR185" s="34"/>
      <c r="BS185" s="1">
        <v>25</v>
      </c>
      <c r="BT185" s="34"/>
      <c r="BU185" s="1">
        <v>138</v>
      </c>
      <c r="BV185" s="34"/>
      <c r="BW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</row>
    <row r="186" spans="1:98">
      <c r="A186" s="1" t="s">
        <v>289</v>
      </c>
      <c r="B186" s="1" t="s">
        <v>290</v>
      </c>
      <c r="C186" s="35" t="s">
        <v>364</v>
      </c>
      <c r="D186" s="63">
        <v>67.22</v>
      </c>
      <c r="E186" s="63">
        <v>2.93</v>
      </c>
      <c r="F186" s="1" t="s">
        <v>308</v>
      </c>
      <c r="G186" s="1" t="s">
        <v>166</v>
      </c>
      <c r="I186" s="68">
        <f>863.2+0.92</f>
        <v>864.12</v>
      </c>
      <c r="J186" s="1" t="s">
        <v>256</v>
      </c>
      <c r="K186" s="1" t="s">
        <v>52</v>
      </c>
      <c r="L186" s="1" t="s">
        <v>864</v>
      </c>
      <c r="M186" s="78" t="s">
        <v>862</v>
      </c>
      <c r="N186" s="78"/>
      <c r="P186" s="1" t="s">
        <v>399</v>
      </c>
      <c r="Q186" s="1" t="s">
        <v>403</v>
      </c>
      <c r="R186" s="4">
        <v>48.984000000000002</v>
      </c>
      <c r="S186" s="4">
        <v>1.64</v>
      </c>
      <c r="T186" s="4">
        <v>15.41</v>
      </c>
      <c r="U186" s="4">
        <v>6.7009999999999996</v>
      </c>
      <c r="V186" s="4">
        <v>4.92</v>
      </c>
      <c r="W186" s="4">
        <v>0.154</v>
      </c>
      <c r="X186" s="4">
        <v>6.9829999999999997</v>
      </c>
      <c r="Y186" s="4">
        <v>11.273999999999999</v>
      </c>
      <c r="Z186" s="4">
        <v>2.36</v>
      </c>
      <c r="AA186" s="4">
        <v>9.4E-2</v>
      </c>
      <c r="AB186" s="4">
        <v>0.154</v>
      </c>
      <c r="AC186" s="67">
        <v>1.268</v>
      </c>
      <c r="AD186" s="23">
        <f t="shared" si="171"/>
        <v>99.941999999999993</v>
      </c>
      <c r="AE186" s="21">
        <f t="shared" si="172"/>
        <v>10.944198999999999</v>
      </c>
      <c r="AF186" s="23">
        <f t="shared" si="173"/>
        <v>0.53215922162470175</v>
      </c>
      <c r="AH186" s="16">
        <f t="shared" si="174"/>
        <v>49.642256318787126</v>
      </c>
      <c r="AI186" s="16">
        <f t="shared" si="175"/>
        <v>1.6620386322638183</v>
      </c>
      <c r="AJ186" s="16">
        <f t="shared" si="176"/>
        <v>15.617082514137463</v>
      </c>
      <c r="AK186" s="16">
        <f t="shared" si="177"/>
        <v>6.7910493139023451</v>
      </c>
      <c r="AL186" s="16">
        <f t="shared" si="178"/>
        <v>4.9861158967914552</v>
      </c>
      <c r="AM186" s="16">
        <f t="shared" si="179"/>
        <v>0.15606948132233417</v>
      </c>
      <c r="AN186" s="16">
        <f t="shared" si="180"/>
        <v>7.0768388835964897</v>
      </c>
      <c r="AO186" s="16">
        <f t="shared" si="181"/>
        <v>11.425502158623345</v>
      </c>
      <c r="AP186" s="16">
        <f t="shared" si="182"/>
        <v>2.3917141293552509</v>
      </c>
      <c r="AQ186" s="16">
        <f t="shared" si="183"/>
        <v>9.5263189898048134E-2</v>
      </c>
      <c r="AR186" s="16">
        <f t="shared" si="184"/>
        <v>0.15606948132233417</v>
      </c>
      <c r="AS186" s="16">
        <f t="shared" si="185"/>
        <v>100.00000000000001</v>
      </c>
      <c r="AT186" s="16">
        <f t="shared" si="186"/>
        <v>11.091269229989663</v>
      </c>
      <c r="AV186" s="1" t="s">
        <v>402</v>
      </c>
      <c r="AY186" s="34"/>
      <c r="AZ186" s="34"/>
      <c r="BA186" s="6">
        <v>321</v>
      </c>
      <c r="BB186" s="34"/>
      <c r="BC186" s="6">
        <v>281</v>
      </c>
      <c r="BD186" s="34"/>
      <c r="BE186" s="34"/>
      <c r="BF186" s="34"/>
      <c r="BG186" s="6">
        <v>92</v>
      </c>
      <c r="BH186" s="34"/>
      <c r="BI186" s="6">
        <v>68</v>
      </c>
      <c r="BJ186" s="34"/>
      <c r="BK186" s="6">
        <v>92</v>
      </c>
      <c r="BN186" s="34"/>
      <c r="BO186" s="34"/>
      <c r="BP186" s="34"/>
      <c r="BQ186" s="1">
        <v>166</v>
      </c>
      <c r="BR186" s="34"/>
      <c r="BS186" s="1">
        <v>22</v>
      </c>
      <c r="BT186" s="34"/>
      <c r="BU186" s="1">
        <v>123</v>
      </c>
      <c r="BV186" s="34"/>
      <c r="BW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</row>
    <row r="187" spans="1:98">
      <c r="A187" s="1" t="s">
        <v>289</v>
      </c>
      <c r="B187" s="1" t="s">
        <v>290</v>
      </c>
      <c r="C187" s="35" t="s">
        <v>365</v>
      </c>
      <c r="D187" s="63">
        <v>67.22</v>
      </c>
      <c r="E187" s="63">
        <v>2.93</v>
      </c>
      <c r="F187" s="1" t="s">
        <v>308</v>
      </c>
      <c r="G187" s="1" t="s">
        <v>144</v>
      </c>
      <c r="I187" s="68">
        <f>866.08+1.25</f>
        <v>867.33</v>
      </c>
      <c r="J187" s="1" t="s">
        <v>256</v>
      </c>
      <c r="K187" s="1" t="s">
        <v>52</v>
      </c>
      <c r="L187" s="1" t="s">
        <v>864</v>
      </c>
      <c r="M187" s="78" t="s">
        <v>862</v>
      </c>
      <c r="N187" s="78"/>
      <c r="P187" s="1" t="s">
        <v>399</v>
      </c>
      <c r="Q187" s="1" t="s">
        <v>403</v>
      </c>
      <c r="R187" s="4">
        <v>49.185000000000002</v>
      </c>
      <c r="S187" s="4">
        <v>2.0529999999999999</v>
      </c>
      <c r="T187" s="4">
        <v>13.839</v>
      </c>
      <c r="U187" s="4">
        <v>5.2160000000000002</v>
      </c>
      <c r="V187" s="4">
        <v>6.94</v>
      </c>
      <c r="W187" s="4">
        <v>0.19900000000000001</v>
      </c>
      <c r="X187" s="4">
        <v>7.0659999999999998</v>
      </c>
      <c r="Y187" s="4">
        <v>11.106</v>
      </c>
      <c r="Z187" s="4">
        <v>2.67</v>
      </c>
      <c r="AA187" s="4">
        <v>0.115</v>
      </c>
      <c r="AB187" s="4">
        <v>0.193</v>
      </c>
      <c r="AC187" s="67">
        <v>1.0720000000000001</v>
      </c>
      <c r="AD187" s="23">
        <f t="shared" si="171"/>
        <v>99.653999999999982</v>
      </c>
      <c r="AE187" s="21">
        <f t="shared" si="172"/>
        <v>11.629184</v>
      </c>
      <c r="AF187" s="23">
        <f t="shared" si="173"/>
        <v>0.51996996639431681</v>
      </c>
      <c r="AH187" s="16">
        <f t="shared" si="174"/>
        <v>49.892475299750473</v>
      </c>
      <c r="AI187" s="16">
        <f t="shared" si="175"/>
        <v>2.082530279361344</v>
      </c>
      <c r="AJ187" s="16">
        <f t="shared" si="176"/>
        <v>14.038059686352481</v>
      </c>
      <c r="AK187" s="16">
        <f t="shared" si="177"/>
        <v>5.2910267594489877</v>
      </c>
      <c r="AL187" s="16">
        <f t="shared" si="178"/>
        <v>7.0398247144509156</v>
      </c>
      <c r="AM187" s="16">
        <f t="shared" si="179"/>
        <v>0.20186240895903923</v>
      </c>
      <c r="AN187" s="16">
        <f t="shared" si="180"/>
        <v>7.1676370939928198</v>
      </c>
      <c r="AO187" s="16">
        <f t="shared" si="181"/>
        <v>11.2657483110507</v>
      </c>
      <c r="AP187" s="16">
        <f t="shared" si="182"/>
        <v>2.7084051855308275</v>
      </c>
      <c r="AQ187" s="16">
        <f t="shared" si="183"/>
        <v>0.11665415593110307</v>
      </c>
      <c r="AR187" s="16">
        <f t="shared" si="184"/>
        <v>0.19577610517132951</v>
      </c>
      <c r="AS187" s="16">
        <f t="shared" si="185"/>
        <v>100.00000000000001</v>
      </c>
      <c r="AT187" s="16">
        <f t="shared" si="186"/>
        <v>11.796457771195556</v>
      </c>
      <c r="AV187" s="1" t="s">
        <v>402</v>
      </c>
      <c r="AY187" s="34"/>
      <c r="AZ187" s="34"/>
      <c r="BA187" s="6">
        <v>360</v>
      </c>
      <c r="BB187" s="34"/>
      <c r="BC187" s="6">
        <v>158</v>
      </c>
      <c r="BD187" s="34"/>
      <c r="BE187" s="34"/>
      <c r="BF187" s="34"/>
      <c r="BG187" s="6">
        <v>68</v>
      </c>
      <c r="BH187" s="34"/>
      <c r="BI187" s="6">
        <v>135</v>
      </c>
      <c r="BJ187" s="34"/>
      <c r="BK187" s="6">
        <v>111</v>
      </c>
      <c r="BN187" s="34"/>
      <c r="BO187" s="34"/>
      <c r="BP187" s="34"/>
      <c r="BQ187" s="1">
        <v>164</v>
      </c>
      <c r="BR187" s="34"/>
      <c r="BS187" s="1">
        <v>27</v>
      </c>
      <c r="BT187" s="34"/>
      <c r="BU187" s="1">
        <v>144</v>
      </c>
      <c r="BV187" s="34"/>
      <c r="BW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</row>
    <row r="188" spans="1:98">
      <c r="A188" s="1" t="s">
        <v>289</v>
      </c>
      <c r="B188" s="1" t="s">
        <v>290</v>
      </c>
      <c r="C188" s="35" t="s">
        <v>366</v>
      </c>
      <c r="D188" s="63">
        <v>67.22</v>
      </c>
      <c r="E188" s="63">
        <v>2.93</v>
      </c>
      <c r="F188" s="1" t="s">
        <v>308</v>
      </c>
      <c r="G188" s="1" t="s">
        <v>156</v>
      </c>
      <c r="I188" s="68">
        <f>882.2+0.28</f>
        <v>882.48</v>
      </c>
      <c r="J188" s="1" t="s">
        <v>256</v>
      </c>
      <c r="K188" s="1" t="s">
        <v>52</v>
      </c>
      <c r="L188" s="1" t="s">
        <v>864</v>
      </c>
      <c r="M188" s="78" t="s">
        <v>862</v>
      </c>
      <c r="N188" s="78"/>
      <c r="P188" s="1" t="s">
        <v>399</v>
      </c>
      <c r="Q188" s="1" t="s">
        <v>403</v>
      </c>
      <c r="R188" s="4">
        <v>49.045000000000002</v>
      </c>
      <c r="S188" s="4">
        <v>2.29</v>
      </c>
      <c r="T188" s="4">
        <v>15.058</v>
      </c>
      <c r="U188" s="4">
        <v>5.6849999999999996</v>
      </c>
      <c r="V188" s="4">
        <v>5.36</v>
      </c>
      <c r="W188" s="4">
        <v>0.252</v>
      </c>
      <c r="X188" s="4">
        <v>7.1950000000000003</v>
      </c>
      <c r="Y188" s="4">
        <v>9.9819999999999993</v>
      </c>
      <c r="Z188" s="4">
        <v>2.98</v>
      </c>
      <c r="AA188" s="4">
        <v>0.188</v>
      </c>
      <c r="AB188" s="4">
        <v>0.217</v>
      </c>
      <c r="AC188" s="67">
        <v>1.397</v>
      </c>
      <c r="AD188" s="23">
        <f t="shared" si="171"/>
        <v>99.649000000000001</v>
      </c>
      <c r="AE188" s="21">
        <f t="shared" si="172"/>
        <v>10.470815</v>
      </c>
      <c r="AF188" s="23">
        <f t="shared" si="173"/>
        <v>0.55056161608386278</v>
      </c>
      <c r="AH188" s="16">
        <f t="shared" si="174"/>
        <v>49.917558930098117</v>
      </c>
      <c r="AI188" s="16">
        <f t="shared" si="175"/>
        <v>2.3307413589545254</v>
      </c>
      <c r="AJ188" s="16">
        <f t="shared" si="176"/>
        <v>15.325896673859056</v>
      </c>
      <c r="AK188" s="16">
        <f t="shared" si="177"/>
        <v>5.7861417579285916</v>
      </c>
      <c r="AL188" s="16">
        <f t="shared" si="178"/>
        <v>5.4553596873346093</v>
      </c>
      <c r="AM188" s="16">
        <f t="shared" si="179"/>
        <v>0.25648332858364209</v>
      </c>
      <c r="AN188" s="16">
        <f t="shared" si="180"/>
        <v>7.3230061474575585</v>
      </c>
      <c r="AO188" s="16">
        <f t="shared" si="181"/>
        <v>10.159589626674267</v>
      </c>
      <c r="AP188" s="16">
        <f t="shared" si="182"/>
        <v>3.0330171396002119</v>
      </c>
      <c r="AQ188" s="16">
        <f t="shared" si="183"/>
        <v>0.19134470545128854</v>
      </c>
      <c r="AR188" s="16">
        <f t="shared" si="184"/>
        <v>0.22086064405813621</v>
      </c>
      <c r="AS188" s="16">
        <f t="shared" si="185"/>
        <v>100</v>
      </c>
      <c r="AT188" s="16">
        <f t="shared" si="186"/>
        <v>10.657101127712412</v>
      </c>
      <c r="AV188" s="1" t="s">
        <v>402</v>
      </c>
      <c r="AY188" s="34"/>
      <c r="AZ188" s="34"/>
      <c r="BA188" s="6">
        <v>387</v>
      </c>
      <c r="BB188" s="34"/>
      <c r="BC188" s="6">
        <v>180</v>
      </c>
      <c r="BD188" s="34"/>
      <c r="BE188" s="34"/>
      <c r="BF188" s="34"/>
      <c r="BG188" s="6">
        <v>71</v>
      </c>
      <c r="BH188" s="34"/>
      <c r="BI188" s="6">
        <v>285</v>
      </c>
      <c r="BJ188" s="34"/>
      <c r="BK188" s="6">
        <v>118</v>
      </c>
      <c r="BN188" s="34"/>
      <c r="BO188" s="34"/>
      <c r="BP188" s="34"/>
      <c r="BQ188" s="1">
        <v>178</v>
      </c>
      <c r="BR188" s="34"/>
      <c r="BS188" s="1">
        <v>19</v>
      </c>
      <c r="BT188" s="34"/>
      <c r="BU188" s="1">
        <v>177</v>
      </c>
      <c r="BV188" s="34"/>
      <c r="BW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</row>
    <row r="189" spans="1:98">
      <c r="A189" s="1" t="s">
        <v>289</v>
      </c>
      <c r="B189" s="1" t="s">
        <v>290</v>
      </c>
      <c r="C189" s="35" t="s">
        <v>367</v>
      </c>
      <c r="D189" s="63">
        <v>67.22</v>
      </c>
      <c r="E189" s="63">
        <v>2.93</v>
      </c>
      <c r="F189" s="1" t="s">
        <v>308</v>
      </c>
      <c r="G189" s="1" t="s">
        <v>164</v>
      </c>
      <c r="I189" s="68">
        <f>883.7+0.48</f>
        <v>884.18000000000006</v>
      </c>
      <c r="J189" s="1" t="s">
        <v>256</v>
      </c>
      <c r="K189" s="1" t="s">
        <v>52</v>
      </c>
      <c r="L189" s="1" t="s">
        <v>864</v>
      </c>
      <c r="M189" s="78" t="s">
        <v>862</v>
      </c>
      <c r="N189" s="78"/>
      <c r="P189" s="1" t="s">
        <v>399</v>
      </c>
      <c r="Q189" s="1" t="s">
        <v>403</v>
      </c>
      <c r="R189" s="4">
        <v>48.515000000000001</v>
      </c>
      <c r="S189" s="4">
        <v>1.5669999999999999</v>
      </c>
      <c r="T189" s="4">
        <v>15.058</v>
      </c>
      <c r="U189" s="4">
        <v>4.8339999999999996</v>
      </c>
      <c r="V189" s="4">
        <v>6.01</v>
      </c>
      <c r="W189" s="4">
        <v>0.182</v>
      </c>
      <c r="X189" s="4">
        <v>8.2859999999999996</v>
      </c>
      <c r="Y189" s="4">
        <v>11.281000000000001</v>
      </c>
      <c r="Z189" s="4">
        <v>2.37</v>
      </c>
      <c r="AA189" s="4">
        <v>0.111</v>
      </c>
      <c r="AB189" s="4">
        <v>0.154</v>
      </c>
      <c r="AC189" s="67">
        <v>1.7190000000000001</v>
      </c>
      <c r="AD189" s="23">
        <f t="shared" si="171"/>
        <v>100.08700000000002</v>
      </c>
      <c r="AE189" s="21">
        <f t="shared" si="172"/>
        <v>10.355765999999999</v>
      </c>
      <c r="AF189" s="23">
        <f t="shared" si="173"/>
        <v>0.58787060786218914</v>
      </c>
      <c r="AH189" s="16">
        <f t="shared" si="174"/>
        <v>49.31990078074169</v>
      </c>
      <c r="AI189" s="16">
        <f t="shared" si="175"/>
        <v>1.5929977228366943</v>
      </c>
      <c r="AJ189" s="16">
        <f t="shared" si="176"/>
        <v>15.30782368249837</v>
      </c>
      <c r="AK189" s="16">
        <f t="shared" si="177"/>
        <v>4.9141997397527639</v>
      </c>
      <c r="AL189" s="16">
        <f t="shared" si="178"/>
        <v>6.1097104749512026</v>
      </c>
      <c r="AM189" s="16">
        <f t="shared" si="179"/>
        <v>0.18501951854261545</v>
      </c>
      <c r="AN189" s="16">
        <f t="shared" si="180"/>
        <v>8.4234710474951182</v>
      </c>
      <c r="AO189" s="16">
        <f t="shared" si="181"/>
        <v>11.468160377358489</v>
      </c>
      <c r="AP189" s="16">
        <f t="shared" si="182"/>
        <v>2.4093201040988932</v>
      </c>
      <c r="AQ189" s="16">
        <f t="shared" si="183"/>
        <v>0.11284157449577095</v>
      </c>
      <c r="AR189" s="16">
        <f t="shared" si="184"/>
        <v>0.15655497722836692</v>
      </c>
      <c r="AS189" s="16">
        <f t="shared" si="185"/>
        <v>99.999999999999972</v>
      </c>
      <c r="AT189" s="16">
        <f t="shared" si="186"/>
        <v>10.527576040988937</v>
      </c>
      <c r="AV189" s="1" t="s">
        <v>402</v>
      </c>
      <c r="AY189" s="34"/>
      <c r="AZ189" s="34"/>
      <c r="BA189" s="6">
        <v>308</v>
      </c>
      <c r="BB189" s="34"/>
      <c r="BC189" s="6">
        <v>320</v>
      </c>
      <c r="BD189" s="34"/>
      <c r="BE189" s="34"/>
      <c r="BF189" s="34"/>
      <c r="BG189" s="6">
        <v>129</v>
      </c>
      <c r="BH189" s="34"/>
      <c r="BI189" s="6">
        <v>103</v>
      </c>
      <c r="BJ189" s="34"/>
      <c r="BK189" s="6">
        <v>87</v>
      </c>
      <c r="BN189" s="34"/>
      <c r="BO189" s="34"/>
      <c r="BP189" s="34"/>
      <c r="BQ189" s="1">
        <v>152</v>
      </c>
      <c r="BR189" s="34"/>
      <c r="BS189" s="1">
        <v>21</v>
      </c>
      <c r="BT189" s="34"/>
      <c r="BU189" s="1">
        <v>161</v>
      </c>
      <c r="BV189" s="34"/>
      <c r="BW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</row>
    <row r="190" spans="1:98">
      <c r="A190" s="1" t="s">
        <v>289</v>
      </c>
      <c r="B190" s="1" t="s">
        <v>290</v>
      </c>
      <c r="C190" s="8" t="s">
        <v>368</v>
      </c>
      <c r="D190" s="63">
        <v>67.22</v>
      </c>
      <c r="E190" s="63">
        <v>2.93</v>
      </c>
      <c r="F190" s="1" t="s">
        <v>308</v>
      </c>
      <c r="G190" s="36" t="s">
        <v>230</v>
      </c>
      <c r="H190" s="36"/>
      <c r="I190" s="68">
        <f>891.5+0.4</f>
        <v>891.9</v>
      </c>
      <c r="J190" s="1" t="s">
        <v>256</v>
      </c>
      <c r="K190" s="1" t="s">
        <v>52</v>
      </c>
      <c r="L190" s="1" t="s">
        <v>864</v>
      </c>
      <c r="M190" s="78" t="s">
        <v>862</v>
      </c>
      <c r="N190" s="78"/>
      <c r="P190" s="1" t="s">
        <v>399</v>
      </c>
      <c r="Q190" s="1" t="s">
        <v>403</v>
      </c>
      <c r="R190" s="4">
        <v>48.691000000000003</v>
      </c>
      <c r="S190" s="4">
        <v>1.8580000000000001</v>
      </c>
      <c r="T190" s="4">
        <v>15.157999999999999</v>
      </c>
      <c r="U190" s="4">
        <v>6.2530000000000001</v>
      </c>
      <c r="V190" s="4">
        <v>4.49</v>
      </c>
      <c r="W190" s="4">
        <v>0.33600000000000002</v>
      </c>
      <c r="X190" s="4">
        <v>7.6719999999999997</v>
      </c>
      <c r="Y190" s="4">
        <v>10.228</v>
      </c>
      <c r="Z190" s="4">
        <v>2.94</v>
      </c>
      <c r="AA190" s="4">
        <v>0.23599999999999999</v>
      </c>
      <c r="AB190" s="4">
        <v>0.183</v>
      </c>
      <c r="AC190" s="67">
        <v>1.39</v>
      </c>
      <c r="AD190" s="23">
        <f t="shared" si="171"/>
        <v>99.434999999999988</v>
      </c>
      <c r="AE190" s="21">
        <f t="shared" si="172"/>
        <v>10.111447</v>
      </c>
      <c r="AF190" s="23">
        <f t="shared" si="173"/>
        <v>0.57494475811391532</v>
      </c>
      <c r="AH190" s="16">
        <f t="shared" si="174"/>
        <v>49.661889948493048</v>
      </c>
      <c r="AI190" s="16">
        <f t="shared" si="175"/>
        <v>1.8950481921566631</v>
      </c>
      <c r="AJ190" s="16">
        <f t="shared" si="176"/>
        <v>15.460247845377124</v>
      </c>
      <c r="AK190" s="16">
        <f t="shared" si="177"/>
        <v>6.3776837166607176</v>
      </c>
      <c r="AL190" s="16">
        <f t="shared" si="178"/>
        <v>4.579529807741344</v>
      </c>
      <c r="AM190" s="16">
        <f t="shared" si="179"/>
        <v>0.342699780712938</v>
      </c>
      <c r="AN190" s="16">
        <f t="shared" si="180"/>
        <v>7.8249783262787496</v>
      </c>
      <c r="AO190" s="16">
        <f t="shared" si="181"/>
        <v>10.431944515273599</v>
      </c>
      <c r="AP190" s="16">
        <f t="shared" si="182"/>
        <v>2.9986230812382075</v>
      </c>
      <c r="AQ190" s="16">
        <f t="shared" si="183"/>
        <v>0.24070579835789691</v>
      </c>
      <c r="AR190" s="16">
        <f t="shared" si="184"/>
        <v>0.18664898770972516</v>
      </c>
      <c r="AS190" s="16">
        <f t="shared" si="185"/>
        <v>100</v>
      </c>
      <c r="AT190" s="16">
        <f t="shared" si="186"/>
        <v>10.31306746901933</v>
      </c>
      <c r="AV190" s="1" t="s">
        <v>402</v>
      </c>
      <c r="AY190" s="34">
        <v>47.986200745928436</v>
      </c>
      <c r="AZ190" s="34">
        <v>350.06874074276453</v>
      </c>
      <c r="BA190" s="6">
        <v>352</v>
      </c>
      <c r="BB190" s="34">
        <v>168.49442172310782</v>
      </c>
      <c r="BC190" s="6">
        <v>164</v>
      </c>
      <c r="BD190" s="34">
        <v>39.116468094938632</v>
      </c>
      <c r="BE190" s="34"/>
      <c r="BF190" s="34">
        <v>73.858166968451613</v>
      </c>
      <c r="BG190" s="6">
        <v>85</v>
      </c>
      <c r="BH190" s="34">
        <v>176.2296951740573</v>
      </c>
      <c r="BI190" s="6">
        <v>184</v>
      </c>
      <c r="BJ190" s="34">
        <v>123.03338749824547</v>
      </c>
      <c r="BK190" s="6">
        <v>130</v>
      </c>
      <c r="BN190" s="34">
        <v>1.924123846734463</v>
      </c>
      <c r="BO190" s="34"/>
      <c r="BP190" s="34">
        <v>174.22761431983653</v>
      </c>
      <c r="BQ190" s="1">
        <v>177</v>
      </c>
      <c r="BR190" s="34">
        <v>32.005098282947607</v>
      </c>
      <c r="BS190" s="1">
        <v>23</v>
      </c>
      <c r="BT190" s="34">
        <v>111.03059857471085</v>
      </c>
      <c r="BU190" s="1">
        <v>103</v>
      </c>
      <c r="BV190" s="34">
        <v>5.8281311287004343</v>
      </c>
      <c r="BW190" s="34"/>
      <c r="BZ190" s="34">
        <v>0.10665635508241174</v>
      </c>
      <c r="CA190" s="34">
        <v>32.560783571484102</v>
      </c>
      <c r="CB190" s="34">
        <v>6.1735301051796192</v>
      </c>
      <c r="CC190" s="34">
        <v>16.087642939929086</v>
      </c>
      <c r="CD190" s="34">
        <v>2.4884089431834582</v>
      </c>
      <c r="CE190" s="34">
        <v>12.89623503025855</v>
      </c>
      <c r="CF190" s="34">
        <v>3.992490829613061</v>
      </c>
      <c r="CG190" s="34">
        <v>1.4049210065644353</v>
      </c>
      <c r="CH190" s="34">
        <v>4.49</v>
      </c>
      <c r="CI190" s="34">
        <v>0.86799274018788453</v>
      </c>
      <c r="CJ190" s="34">
        <v>5.0783566723864908</v>
      </c>
      <c r="CK190" s="34">
        <v>1.1046279105026022</v>
      </c>
      <c r="CL190" s="34">
        <v>3.0242648248145199</v>
      </c>
      <c r="CM190" s="34">
        <v>0.42085219923952977</v>
      </c>
      <c r="CN190" s="34">
        <v>2.6693714530328427</v>
      </c>
      <c r="CO190" s="34">
        <v>0.42732493900387453</v>
      </c>
      <c r="CP190" s="34">
        <v>2.838017957794611</v>
      </c>
      <c r="CQ190" s="34">
        <v>0.35212195008682134</v>
      </c>
      <c r="CR190" s="34">
        <v>0.64052278721884248</v>
      </c>
      <c r="CS190" s="34">
        <v>0.52298564027743888</v>
      </c>
      <c r="CT190" s="34">
        <v>0.14358887223359887</v>
      </c>
    </row>
    <row r="191" spans="1:98">
      <c r="A191" s="1" t="s">
        <v>289</v>
      </c>
      <c r="B191" s="1" t="s">
        <v>290</v>
      </c>
      <c r="C191" s="35" t="s">
        <v>369</v>
      </c>
      <c r="D191" s="63">
        <v>67.22</v>
      </c>
      <c r="E191" s="63">
        <v>2.93</v>
      </c>
      <c r="F191" s="1" t="s">
        <v>308</v>
      </c>
      <c r="G191" s="1" t="s">
        <v>145</v>
      </c>
      <c r="I191" s="68">
        <f>903.88+0.5</f>
        <v>904.38</v>
      </c>
      <c r="J191" s="1" t="s">
        <v>256</v>
      </c>
      <c r="K191" s="1" t="s">
        <v>52</v>
      </c>
      <c r="L191" s="1" t="s">
        <v>864</v>
      </c>
      <c r="M191" s="78" t="s">
        <v>862</v>
      </c>
      <c r="N191" s="78"/>
      <c r="P191" s="1" t="s">
        <v>399</v>
      </c>
      <c r="Q191" s="1" t="s">
        <v>403</v>
      </c>
      <c r="R191" s="4">
        <v>49.375</v>
      </c>
      <c r="S191" s="4">
        <v>1.762</v>
      </c>
      <c r="T191" s="4">
        <v>14.145</v>
      </c>
      <c r="U191" s="4">
        <v>4.3230000000000004</v>
      </c>
      <c r="V191" s="4">
        <v>7.63</v>
      </c>
      <c r="W191" s="4">
        <v>0.221</v>
      </c>
      <c r="X191" s="4">
        <v>6.9720000000000004</v>
      </c>
      <c r="Y191" s="4">
        <v>11.194000000000001</v>
      </c>
      <c r="Z191" s="4">
        <v>2.63</v>
      </c>
      <c r="AA191" s="4">
        <v>0.123</v>
      </c>
      <c r="AB191" s="4">
        <v>0.185</v>
      </c>
      <c r="AC191" s="67">
        <v>1.0089999999999999</v>
      </c>
      <c r="AD191" s="23">
        <f t="shared" si="171"/>
        <v>99.568999999999988</v>
      </c>
      <c r="AE191" s="21">
        <f t="shared" si="172"/>
        <v>11.516377</v>
      </c>
      <c r="AF191" s="23">
        <f t="shared" si="173"/>
        <v>0.51906017223454759</v>
      </c>
      <c r="AH191" s="16">
        <f t="shared" si="174"/>
        <v>50.096387987012996</v>
      </c>
      <c r="AI191" s="16">
        <f t="shared" si="175"/>
        <v>1.7877435064935066</v>
      </c>
      <c r="AJ191" s="16">
        <f t="shared" si="176"/>
        <v>14.351663961038962</v>
      </c>
      <c r="AK191" s="16">
        <f t="shared" si="177"/>
        <v>4.3861607142857153</v>
      </c>
      <c r="AL191" s="16">
        <f t="shared" si="178"/>
        <v>7.7414772727272734</v>
      </c>
      <c r="AM191" s="16">
        <f t="shared" si="179"/>
        <v>0.22422889610389615</v>
      </c>
      <c r="AN191" s="16">
        <f t="shared" si="180"/>
        <v>7.0738636363636376</v>
      </c>
      <c r="AO191" s="16">
        <f t="shared" si="181"/>
        <v>11.357548701298704</v>
      </c>
      <c r="AP191" s="16">
        <f t="shared" si="182"/>
        <v>2.6684253246753249</v>
      </c>
      <c r="AQ191" s="16">
        <f t="shared" si="183"/>
        <v>0.12479707792207795</v>
      </c>
      <c r="AR191" s="16">
        <f t="shared" si="184"/>
        <v>0.18770292207792211</v>
      </c>
      <c r="AS191" s="16">
        <f t="shared" si="185"/>
        <v>100.00000000000003</v>
      </c>
      <c r="AT191" s="16">
        <f t="shared" si="186"/>
        <v>11.684635754870131</v>
      </c>
      <c r="AV191" s="1" t="s">
        <v>402</v>
      </c>
      <c r="AY191" s="34"/>
      <c r="AZ191" s="34"/>
      <c r="BA191" s="6">
        <v>348</v>
      </c>
      <c r="BB191" s="34"/>
      <c r="BC191" s="6">
        <v>164</v>
      </c>
      <c r="BD191" s="34"/>
      <c r="BE191" s="34"/>
      <c r="BF191" s="34"/>
      <c r="BG191" s="6">
        <v>79</v>
      </c>
      <c r="BH191" s="34"/>
      <c r="BI191" s="6">
        <v>138</v>
      </c>
      <c r="BJ191" s="34"/>
      <c r="BK191" s="6">
        <v>102</v>
      </c>
      <c r="BN191" s="34"/>
      <c r="BO191" s="34"/>
      <c r="BP191" s="34"/>
      <c r="BQ191" s="1">
        <v>164</v>
      </c>
      <c r="BR191" s="34"/>
      <c r="BS191" s="1">
        <v>25</v>
      </c>
      <c r="BT191" s="34"/>
      <c r="BU191" s="1">
        <v>256</v>
      </c>
      <c r="BV191" s="34"/>
      <c r="BW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</row>
    <row r="192" spans="1:98">
      <c r="A192" s="1" t="s">
        <v>289</v>
      </c>
      <c r="B192" s="1" t="s">
        <v>290</v>
      </c>
      <c r="C192" s="8" t="s">
        <v>370</v>
      </c>
      <c r="D192" s="63">
        <v>67.22</v>
      </c>
      <c r="E192" s="63">
        <v>2.93</v>
      </c>
      <c r="F192" s="1" t="s">
        <v>308</v>
      </c>
      <c r="G192" s="36" t="s">
        <v>235</v>
      </c>
      <c r="H192" s="36"/>
      <c r="I192" s="68">
        <f>911.9+0.23</f>
        <v>912.13</v>
      </c>
      <c r="J192" s="1" t="s">
        <v>256</v>
      </c>
      <c r="K192" s="1" t="s">
        <v>52</v>
      </c>
      <c r="L192" s="1" t="s">
        <v>864</v>
      </c>
      <c r="M192" s="78" t="s">
        <v>862</v>
      </c>
      <c r="N192" s="78"/>
      <c r="P192" s="1" t="s">
        <v>399</v>
      </c>
      <c r="Q192" s="1" t="s">
        <v>403</v>
      </c>
      <c r="R192" s="4">
        <v>48.942999999999998</v>
      </c>
      <c r="S192" s="4">
        <v>1.722</v>
      </c>
      <c r="T192" s="4">
        <v>17.149999999999999</v>
      </c>
      <c r="U192" s="4">
        <v>8.6980000000000004</v>
      </c>
      <c r="V192" s="4">
        <v>1.96</v>
      </c>
      <c r="W192" s="4">
        <v>8.2000000000000003E-2</v>
      </c>
      <c r="X192" s="4">
        <v>6.8780000000000001</v>
      </c>
      <c r="Y192" s="4">
        <v>7.5810000000000004</v>
      </c>
      <c r="Z192" s="4">
        <v>3.11</v>
      </c>
      <c r="AA192" s="4">
        <v>1.169</v>
      </c>
      <c r="AB192" s="4">
        <v>0.159</v>
      </c>
      <c r="AC192" s="67">
        <v>2.2679999999999998</v>
      </c>
      <c r="AD192" s="23">
        <f t="shared" si="171"/>
        <v>99.72</v>
      </c>
      <c r="AE192" s="21">
        <f t="shared" si="172"/>
        <v>9.7795020000000008</v>
      </c>
      <c r="AF192" s="23">
        <f t="shared" si="173"/>
        <v>0.5563063987177802</v>
      </c>
      <c r="AH192" s="16">
        <f t="shared" si="174"/>
        <v>50.222673726552564</v>
      </c>
      <c r="AI192" s="16">
        <f t="shared" si="175"/>
        <v>1.767023765546115</v>
      </c>
      <c r="AJ192" s="16">
        <f t="shared" si="176"/>
        <v>17.598407421089355</v>
      </c>
      <c r="AK192" s="16">
        <f t="shared" si="177"/>
        <v>8.9254196937979735</v>
      </c>
      <c r="AL192" s="16">
        <f t="shared" si="178"/>
        <v>2.011246562410212</v>
      </c>
      <c r="AM192" s="16">
        <f t="shared" si="179"/>
        <v>8.4143988835529301E-2</v>
      </c>
      <c r="AN192" s="16">
        <f t="shared" si="180"/>
        <v>7.057833600131346</v>
      </c>
      <c r="AO192" s="16">
        <f t="shared" si="181"/>
        <v>7.7792143824652138</v>
      </c>
      <c r="AP192" s="16">
        <f t="shared" si="182"/>
        <v>3.1913146985182448</v>
      </c>
      <c r="AQ192" s="16">
        <f t="shared" si="183"/>
        <v>1.1995649140089482</v>
      </c>
      <c r="AR192" s="16">
        <f t="shared" si="184"/>
        <v>0.1631572466445019</v>
      </c>
      <c r="AS192" s="16">
        <f t="shared" si="185"/>
        <v>100</v>
      </c>
      <c r="AT192" s="16">
        <f t="shared" si="186"/>
        <v>10.035198867134591</v>
      </c>
      <c r="AV192" s="1" t="s">
        <v>402</v>
      </c>
      <c r="AY192" s="34">
        <v>43.100404011326191</v>
      </c>
      <c r="AZ192" s="34">
        <v>267.13455357760495</v>
      </c>
      <c r="BA192" s="6">
        <v>276</v>
      </c>
      <c r="BB192" s="34"/>
      <c r="BC192" s="6">
        <v>220</v>
      </c>
      <c r="BD192" s="34">
        <v>33.030814577212887</v>
      </c>
      <c r="BE192" s="34"/>
      <c r="BF192" s="34">
        <v>66.040417380203806</v>
      </c>
      <c r="BG192" s="6">
        <v>76</v>
      </c>
      <c r="BH192" s="34">
        <v>67.91935837875441</v>
      </c>
      <c r="BI192" s="6">
        <v>75</v>
      </c>
      <c r="BJ192" s="34">
        <v>75.608954534944942</v>
      </c>
      <c r="BK192" s="6">
        <v>84</v>
      </c>
      <c r="BN192" s="34">
        <v>3.4863886277637643</v>
      </c>
      <c r="BO192" s="34"/>
      <c r="BP192" s="34">
        <v>177.80144843874265</v>
      </c>
      <c r="BQ192" s="1">
        <v>186</v>
      </c>
      <c r="BR192" s="34">
        <v>27.299642453309716</v>
      </c>
      <c r="BS192" s="1">
        <v>18</v>
      </c>
      <c r="BT192" s="34">
        <v>88.09119033258709</v>
      </c>
      <c r="BU192" s="1">
        <v>90</v>
      </c>
      <c r="BV192" s="34">
        <v>3.6449367483724777</v>
      </c>
      <c r="BW192" s="34"/>
      <c r="BZ192" s="34">
        <v>8.2383054369719141E-2</v>
      </c>
      <c r="CA192" s="34">
        <v>42.275966297272547</v>
      </c>
      <c r="CB192" s="34">
        <v>6.3831902630234936</v>
      </c>
      <c r="CC192" s="34">
        <v>15.766441865120251</v>
      </c>
      <c r="CD192" s="34"/>
      <c r="CE192" s="34"/>
      <c r="CF192" s="34"/>
      <c r="CG192" s="34"/>
      <c r="CH192" s="34"/>
      <c r="CI192" s="34"/>
      <c r="CJ192" s="34">
        <v>4.4797979546665863</v>
      </c>
      <c r="CK192" s="34">
        <v>0.94338165461450407</v>
      </c>
      <c r="CL192" s="34"/>
      <c r="CM192" s="34">
        <v>0.36440559739140516</v>
      </c>
      <c r="CN192" s="34"/>
      <c r="CO192" s="34"/>
      <c r="CP192" s="34">
        <v>2.3227493140248758</v>
      </c>
      <c r="CQ192" s="34">
        <v>0.23791116033522883</v>
      </c>
      <c r="CR192" s="34">
        <v>1.1051508719828318</v>
      </c>
      <c r="CS192" s="34">
        <v>0.35007815023102867</v>
      </c>
      <c r="CT192" s="34">
        <v>0.18347844775526059</v>
      </c>
    </row>
    <row r="193" spans="1:98">
      <c r="A193" s="1" t="s">
        <v>289</v>
      </c>
      <c r="B193" s="1" t="s">
        <v>290</v>
      </c>
      <c r="C193" s="8" t="s">
        <v>371</v>
      </c>
      <c r="D193" s="63">
        <v>67.22</v>
      </c>
      <c r="E193" s="63">
        <v>2.93</v>
      </c>
      <c r="F193" s="1" t="s">
        <v>308</v>
      </c>
      <c r="G193" s="36" t="s">
        <v>229</v>
      </c>
      <c r="H193" s="36"/>
      <c r="I193" s="68">
        <f>911.9+0.53</f>
        <v>912.43</v>
      </c>
      <c r="J193" s="1" t="s">
        <v>256</v>
      </c>
      <c r="K193" s="1" t="s">
        <v>52</v>
      </c>
      <c r="L193" s="1" t="s">
        <v>864</v>
      </c>
      <c r="M193" s="78" t="s">
        <v>862</v>
      </c>
      <c r="N193" s="78"/>
      <c r="P193" s="1" t="s">
        <v>399</v>
      </c>
      <c r="Q193" s="1" t="s">
        <v>403</v>
      </c>
      <c r="R193" s="4">
        <v>48.86</v>
      </c>
      <c r="S193" s="4">
        <v>1.754</v>
      </c>
      <c r="T193" s="4">
        <v>14.9</v>
      </c>
      <c r="U193" s="4">
        <v>10.862</v>
      </c>
      <c r="V193" s="4">
        <v>2.0499999999999998</v>
      </c>
      <c r="W193" s="4">
        <v>0.08</v>
      </c>
      <c r="X193" s="4">
        <v>7.5620000000000003</v>
      </c>
      <c r="Y193" s="4">
        <v>6.96</v>
      </c>
      <c r="Z193" s="4">
        <v>2.54</v>
      </c>
      <c r="AA193" s="4">
        <v>1.2010000000000001</v>
      </c>
      <c r="AB193" s="4">
        <v>0.16300000000000001</v>
      </c>
      <c r="AC193" s="67">
        <v>2.448</v>
      </c>
      <c r="AD193" s="23">
        <f t="shared" si="171"/>
        <v>99.379999999999967</v>
      </c>
      <c r="AE193" s="21">
        <f t="shared" si="172"/>
        <v>11.814938000000001</v>
      </c>
      <c r="AF193" s="23">
        <f t="shared" si="173"/>
        <v>0.53293142656003278</v>
      </c>
      <c r="AH193" s="16">
        <f t="shared" si="174"/>
        <v>50.406470515412877</v>
      </c>
      <c r="AI193" s="16">
        <f t="shared" si="175"/>
        <v>1.8095159493253008</v>
      </c>
      <c r="AJ193" s="16">
        <f t="shared" si="176"/>
        <v>15.37160070977593</v>
      </c>
      <c r="AK193" s="16">
        <f t="shared" si="177"/>
        <v>11.205793752321219</v>
      </c>
      <c r="AL193" s="16">
        <f t="shared" si="178"/>
        <v>2.1148846614121242</v>
      </c>
      <c r="AM193" s="16">
        <f t="shared" si="179"/>
        <v>8.2532084347790233E-2</v>
      </c>
      <c r="AN193" s="16">
        <f t="shared" si="180"/>
        <v>7.8013452729748716</v>
      </c>
      <c r="AO193" s="16">
        <f t="shared" si="181"/>
        <v>7.1802913382577493</v>
      </c>
      <c r="AP193" s="16">
        <f t="shared" si="182"/>
        <v>2.6203936780423396</v>
      </c>
      <c r="AQ193" s="16">
        <f t="shared" si="183"/>
        <v>1.2390129162712009</v>
      </c>
      <c r="AR193" s="16">
        <f t="shared" si="184"/>
        <v>0.16815912185862258</v>
      </c>
      <c r="AS193" s="16">
        <f t="shared" si="185"/>
        <v>100.00000000000001</v>
      </c>
      <c r="AT193" s="16">
        <f t="shared" si="186"/>
        <v>12.1888932447489</v>
      </c>
      <c r="AV193" s="1" t="s">
        <v>402</v>
      </c>
      <c r="AY193" s="34">
        <v>39.189682928172111</v>
      </c>
      <c r="AZ193" s="34">
        <v>298.05821763094542</v>
      </c>
      <c r="BA193" s="6">
        <v>303</v>
      </c>
      <c r="BB193" s="34"/>
      <c r="BC193" s="6">
        <v>314</v>
      </c>
      <c r="BD193" s="34">
        <v>38.216422246415114</v>
      </c>
      <c r="BE193" s="34"/>
      <c r="BF193" s="34">
        <v>88.506683128830787</v>
      </c>
      <c r="BG193" s="6">
        <v>100</v>
      </c>
      <c r="BH193" s="34">
        <v>51.643182672193234</v>
      </c>
      <c r="BI193" s="6">
        <v>54</v>
      </c>
      <c r="BJ193" s="34">
        <v>87.326467127501132</v>
      </c>
      <c r="BK193" s="6">
        <v>82</v>
      </c>
      <c r="BN193" s="34">
        <v>7.6362036934738802</v>
      </c>
      <c r="BO193" s="34"/>
      <c r="BP193" s="34">
        <v>185.7000711206679</v>
      </c>
      <c r="BQ193" s="1">
        <v>189</v>
      </c>
      <c r="BR193" s="34">
        <v>39.364699312357068</v>
      </c>
      <c r="BS193" s="1">
        <v>27</v>
      </c>
      <c r="BT193" s="34">
        <v>101.55391510095967</v>
      </c>
      <c r="BU193" s="1">
        <v>99</v>
      </c>
      <c r="BV193" s="34">
        <v>5.6937328974824846</v>
      </c>
      <c r="BW193" s="34"/>
      <c r="BZ193" s="34">
        <v>0.26970890164124683</v>
      </c>
      <c r="CA193" s="34">
        <v>32.070663465023195</v>
      </c>
      <c r="CB193" s="34">
        <v>7.4160255819452514</v>
      </c>
      <c r="CC193" s="34">
        <v>18.600318025085183</v>
      </c>
      <c r="CD193" s="34"/>
      <c r="CE193" s="34"/>
      <c r="CF193" s="34"/>
      <c r="CG193" s="34"/>
      <c r="CH193" s="34"/>
      <c r="CI193" s="34"/>
      <c r="CJ193" s="34">
        <v>5.6422878577949378</v>
      </c>
      <c r="CK193" s="34">
        <v>1.2136897736083492</v>
      </c>
      <c r="CL193" s="34"/>
      <c r="CM193" s="34">
        <v>0.45892433286509848</v>
      </c>
      <c r="CN193" s="34"/>
      <c r="CO193" s="34"/>
      <c r="CP193" s="34">
        <v>2.5320288432792597</v>
      </c>
      <c r="CQ193" s="34">
        <v>0.346049278700926</v>
      </c>
      <c r="CR193" s="34">
        <v>1.1758383697970183</v>
      </c>
      <c r="CS193" s="34">
        <v>0.44402870780848108</v>
      </c>
      <c r="CT193" s="34">
        <v>0.14275471543531429</v>
      </c>
    </row>
    <row r="194" spans="1:98">
      <c r="A194" s="1" t="s">
        <v>289</v>
      </c>
      <c r="B194" s="1" t="s">
        <v>290</v>
      </c>
      <c r="C194" s="35" t="s">
        <v>372</v>
      </c>
      <c r="D194" s="63">
        <v>67.22</v>
      </c>
      <c r="E194" s="63">
        <v>2.93</v>
      </c>
      <c r="F194" s="1" t="s">
        <v>308</v>
      </c>
      <c r="G194" s="1" t="s">
        <v>160</v>
      </c>
      <c r="I194" s="68">
        <f>922.8</f>
        <v>922.8</v>
      </c>
      <c r="J194" s="1" t="s">
        <v>256</v>
      </c>
      <c r="K194" s="1" t="s">
        <v>52</v>
      </c>
      <c r="L194" s="1" t="s">
        <v>864</v>
      </c>
      <c r="M194" s="78" t="s">
        <v>862</v>
      </c>
      <c r="N194" s="78"/>
      <c r="P194" s="1" t="s">
        <v>399</v>
      </c>
      <c r="Q194" s="1" t="s">
        <v>403</v>
      </c>
      <c r="R194" s="4">
        <v>48.191000000000003</v>
      </c>
      <c r="S194" s="4">
        <v>1.698</v>
      </c>
      <c r="T194" s="4">
        <v>14.404999999999999</v>
      </c>
      <c r="U194" s="4">
        <v>5.1669999999999998</v>
      </c>
      <c r="V194" s="4">
        <v>6.49</v>
      </c>
      <c r="W194" s="4">
        <v>0.223</v>
      </c>
      <c r="X194" s="4">
        <v>7.8570000000000002</v>
      </c>
      <c r="Y194" s="4">
        <v>11.055999999999999</v>
      </c>
      <c r="Z194" s="4">
        <v>2.5299999999999998</v>
      </c>
      <c r="AA194" s="4">
        <v>0.113</v>
      </c>
      <c r="AB194" s="4">
        <v>0.16600000000000001</v>
      </c>
      <c r="AC194" s="67">
        <v>1.782</v>
      </c>
      <c r="AD194" s="23">
        <f t="shared" si="171"/>
        <v>99.677999999999983</v>
      </c>
      <c r="AE194" s="21">
        <f t="shared" si="172"/>
        <v>11.135133</v>
      </c>
      <c r="AF194" s="23">
        <f t="shared" si="173"/>
        <v>0.55711097887640504</v>
      </c>
      <c r="AH194" s="16">
        <f t="shared" si="174"/>
        <v>49.226730407779698</v>
      </c>
      <c r="AI194" s="16">
        <f t="shared" si="175"/>
        <v>1.7344937484677618</v>
      </c>
      <c r="AJ194" s="16">
        <f t="shared" si="176"/>
        <v>14.714595080493588</v>
      </c>
      <c r="AK194" s="16">
        <f t="shared" si="177"/>
        <v>5.2780501756966576</v>
      </c>
      <c r="AL194" s="16">
        <f t="shared" si="178"/>
        <v>6.6294843507395615</v>
      </c>
      <c r="AM194" s="16">
        <f t="shared" si="179"/>
        <v>0.22779275966331622</v>
      </c>
      <c r="AN194" s="16">
        <f t="shared" si="180"/>
        <v>8.0258641823976475</v>
      </c>
      <c r="AO194" s="16">
        <f t="shared" si="181"/>
        <v>11.293617716760645</v>
      </c>
      <c r="AP194" s="16">
        <f t="shared" si="182"/>
        <v>2.584375255373049</v>
      </c>
      <c r="AQ194" s="16">
        <f t="shared" si="183"/>
        <v>0.11542861812535754</v>
      </c>
      <c r="AR194" s="16">
        <f t="shared" si="184"/>
        <v>0.16956770450273764</v>
      </c>
      <c r="AS194" s="16">
        <f t="shared" si="185"/>
        <v>100.00000000000004</v>
      </c>
      <c r="AT194" s="16">
        <f t="shared" si="186"/>
        <v>11.374451458690856</v>
      </c>
      <c r="AV194" s="1" t="s">
        <v>402</v>
      </c>
      <c r="AY194" s="34"/>
      <c r="AZ194" s="34"/>
      <c r="BA194" s="6">
        <v>343</v>
      </c>
      <c r="BB194" s="34"/>
      <c r="BC194" s="6">
        <v>254</v>
      </c>
      <c r="BD194" s="34"/>
      <c r="BE194" s="34"/>
      <c r="BF194" s="34"/>
      <c r="BG194" s="6">
        <v>93</v>
      </c>
      <c r="BH194" s="34"/>
      <c r="BI194" s="6">
        <v>93</v>
      </c>
      <c r="BJ194" s="34"/>
      <c r="BK194" s="6">
        <v>96</v>
      </c>
      <c r="BN194" s="34"/>
      <c r="BO194" s="34"/>
      <c r="BP194" s="34"/>
      <c r="BQ194" s="1">
        <v>166</v>
      </c>
      <c r="BR194" s="34"/>
      <c r="BS194" s="1">
        <v>22</v>
      </c>
      <c r="BT194" s="34"/>
      <c r="BU194" s="1">
        <v>171</v>
      </c>
      <c r="BV194" s="34"/>
      <c r="BW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</row>
    <row r="195" spans="1:98">
      <c r="A195" s="1" t="s">
        <v>289</v>
      </c>
      <c r="B195" s="1" t="s">
        <v>290</v>
      </c>
      <c r="C195" s="35" t="s">
        <v>373</v>
      </c>
      <c r="D195" s="63">
        <v>67.22</v>
      </c>
      <c r="E195" s="63">
        <v>2.93</v>
      </c>
      <c r="F195" s="1" t="s">
        <v>308</v>
      </c>
      <c r="G195" s="1" t="s">
        <v>149</v>
      </c>
      <c r="I195" s="68">
        <f>930.9+0.66</f>
        <v>931.56</v>
      </c>
      <c r="J195" s="1" t="s">
        <v>256</v>
      </c>
      <c r="K195" s="1" t="s">
        <v>52</v>
      </c>
      <c r="L195" s="1" t="s">
        <v>864</v>
      </c>
      <c r="M195" s="78" t="s">
        <v>862</v>
      </c>
      <c r="N195" s="78"/>
      <c r="P195" s="1" t="s">
        <v>399</v>
      </c>
      <c r="Q195" s="1" t="s">
        <v>403</v>
      </c>
      <c r="R195" s="4">
        <v>47.277000000000001</v>
      </c>
      <c r="S195" s="4">
        <v>2.4039999999999999</v>
      </c>
      <c r="T195" s="4">
        <v>15.9</v>
      </c>
      <c r="U195" s="4">
        <v>9.6479999999999997</v>
      </c>
      <c r="V195" s="4">
        <v>4.1100000000000003</v>
      </c>
      <c r="W195" s="4">
        <v>0.15</v>
      </c>
      <c r="X195" s="4">
        <v>7.0119999999999996</v>
      </c>
      <c r="Y195" s="4">
        <v>6.1980000000000004</v>
      </c>
      <c r="Z195" s="4">
        <v>2.8</v>
      </c>
      <c r="AA195" s="4">
        <v>1.696</v>
      </c>
      <c r="AB195" s="4">
        <v>0.26300000000000001</v>
      </c>
      <c r="AC195" s="67">
        <v>2.2370000000000001</v>
      </c>
      <c r="AD195" s="23">
        <f t="shared" si="171"/>
        <v>99.695000000000007</v>
      </c>
      <c r="AE195" s="21">
        <f t="shared" si="172"/>
        <v>12.783552</v>
      </c>
      <c r="AF195" s="23">
        <f t="shared" si="173"/>
        <v>0.49440254766093128</v>
      </c>
      <c r="AH195" s="16">
        <f t="shared" si="174"/>
        <v>48.510127439512395</v>
      </c>
      <c r="AI195" s="16">
        <f t="shared" si="175"/>
        <v>2.466703605655769</v>
      </c>
      <c r="AJ195" s="16">
        <f t="shared" si="176"/>
        <v>16.314720187157544</v>
      </c>
      <c r="AK195" s="16">
        <f t="shared" si="177"/>
        <v>9.8996490796035204</v>
      </c>
      <c r="AL195" s="16">
        <f t="shared" si="178"/>
        <v>4.2172012559256293</v>
      </c>
      <c r="AM195" s="16">
        <f t="shared" si="179"/>
        <v>0.15391245459582586</v>
      </c>
      <c r="AN195" s="16">
        <f t="shared" si="180"/>
        <v>7.1948942108395393</v>
      </c>
      <c r="AO195" s="16">
        <f t="shared" si="181"/>
        <v>6.359662623899526</v>
      </c>
      <c r="AP195" s="16">
        <f t="shared" si="182"/>
        <v>2.8730324857887495</v>
      </c>
      <c r="AQ195" s="16">
        <f t="shared" si="183"/>
        <v>1.7402368199634712</v>
      </c>
      <c r="AR195" s="16">
        <f t="shared" si="184"/>
        <v>0.2698598370580147</v>
      </c>
      <c r="AS195" s="16">
        <f t="shared" si="185"/>
        <v>99.999999999999986</v>
      </c>
      <c r="AT195" s="16">
        <f t="shared" si="186"/>
        <v>13.116985778489195</v>
      </c>
      <c r="AV195" s="1" t="s">
        <v>402</v>
      </c>
      <c r="AY195" s="34"/>
      <c r="AZ195" s="34"/>
      <c r="BA195" s="6">
        <v>408</v>
      </c>
      <c r="BB195" s="34"/>
      <c r="BC195" s="6">
        <v>153</v>
      </c>
      <c r="BD195" s="34"/>
      <c r="BE195" s="34"/>
      <c r="BF195" s="34"/>
      <c r="BG195" s="6">
        <v>87</v>
      </c>
      <c r="BH195" s="34"/>
      <c r="BI195" s="6">
        <v>120</v>
      </c>
      <c r="BJ195" s="34"/>
      <c r="BK195" s="6">
        <v>127</v>
      </c>
      <c r="BN195" s="34"/>
      <c r="BO195" s="34"/>
      <c r="BP195" s="34"/>
      <c r="BQ195" s="1">
        <v>199</v>
      </c>
      <c r="BR195" s="34"/>
      <c r="BS195" s="1">
        <v>31</v>
      </c>
      <c r="BT195" s="34"/>
      <c r="BU195" s="1">
        <v>215</v>
      </c>
      <c r="BV195" s="34"/>
      <c r="BW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</row>
    <row r="196" spans="1:98">
      <c r="A196" s="1" t="s">
        <v>289</v>
      </c>
      <c r="B196" s="1" t="s">
        <v>290</v>
      </c>
      <c r="C196" s="35" t="s">
        <v>374</v>
      </c>
      <c r="D196" s="63">
        <v>67.22</v>
      </c>
      <c r="E196" s="63">
        <v>2.93</v>
      </c>
      <c r="F196" s="1" t="s">
        <v>308</v>
      </c>
      <c r="G196" s="1" t="s">
        <v>143</v>
      </c>
      <c r="I196" s="68">
        <f>940.4+0.53</f>
        <v>940.93</v>
      </c>
      <c r="J196" s="1" t="s">
        <v>256</v>
      </c>
      <c r="K196" s="1" t="s">
        <v>52</v>
      </c>
      <c r="L196" s="1" t="s">
        <v>864</v>
      </c>
      <c r="M196" s="78" t="s">
        <v>862</v>
      </c>
      <c r="N196" s="78"/>
      <c r="P196" s="1" t="s">
        <v>399</v>
      </c>
      <c r="Q196" s="1" t="s">
        <v>403</v>
      </c>
      <c r="R196" s="4">
        <v>48.348999999999997</v>
      </c>
      <c r="S196" s="4">
        <v>2.1480000000000001</v>
      </c>
      <c r="T196" s="4">
        <v>15.009</v>
      </c>
      <c r="U196" s="4">
        <v>6.9089999999999998</v>
      </c>
      <c r="V196" s="4">
        <v>4.88</v>
      </c>
      <c r="W196" s="4">
        <v>0.28599999999999998</v>
      </c>
      <c r="X196" s="4">
        <v>7.5750000000000002</v>
      </c>
      <c r="Y196" s="4">
        <v>9.5630000000000006</v>
      </c>
      <c r="Z196" s="4">
        <v>2.96</v>
      </c>
      <c r="AA196" s="4">
        <v>0.35599999999999998</v>
      </c>
      <c r="AB196" s="4">
        <v>0.22500000000000001</v>
      </c>
      <c r="AC196" s="67">
        <v>1.5229999999999999</v>
      </c>
      <c r="AD196" s="23">
        <f t="shared" si="171"/>
        <v>99.782999999999987</v>
      </c>
      <c r="AE196" s="21">
        <f t="shared" si="172"/>
        <v>11.091191</v>
      </c>
      <c r="AF196" s="23">
        <f t="shared" si="173"/>
        <v>0.54905365228199665</v>
      </c>
      <c r="AH196" s="16">
        <f t="shared" si="174"/>
        <v>49.20516995725626</v>
      </c>
      <c r="AI196" s="16">
        <f t="shared" si="175"/>
        <v>2.1860370445756159</v>
      </c>
      <c r="AJ196" s="16">
        <f t="shared" si="176"/>
        <v>15.27478119275392</v>
      </c>
      <c r="AK196" s="16">
        <f t="shared" si="177"/>
        <v>7.0313454101363737</v>
      </c>
      <c r="AL196" s="16">
        <f t="shared" si="178"/>
        <v>4.9664156319967434</v>
      </c>
      <c r="AM196" s="16">
        <f t="shared" si="179"/>
        <v>0.29106452269489114</v>
      </c>
      <c r="AN196" s="16">
        <f t="shared" si="180"/>
        <v>7.7091390189293714</v>
      </c>
      <c r="AO196" s="16">
        <f t="shared" si="181"/>
        <v>9.7323427640952591</v>
      </c>
      <c r="AP196" s="16">
        <f t="shared" si="182"/>
        <v>3.0124160390799921</v>
      </c>
      <c r="AQ196" s="16">
        <f t="shared" si="183"/>
        <v>0.36230409118664769</v>
      </c>
      <c r="AR196" s="16">
        <f t="shared" si="184"/>
        <v>0.22898432729493184</v>
      </c>
      <c r="AS196" s="16">
        <f t="shared" si="185"/>
        <v>100.00000000000001</v>
      </c>
      <c r="AT196" s="16">
        <f t="shared" si="186"/>
        <v>11.287595155709344</v>
      </c>
      <c r="AV196" s="1" t="s">
        <v>402</v>
      </c>
      <c r="AY196" s="34"/>
      <c r="AZ196" s="34"/>
      <c r="BA196" s="6">
        <v>381</v>
      </c>
      <c r="BB196" s="34"/>
      <c r="BC196" s="6">
        <v>219</v>
      </c>
      <c r="BD196" s="34"/>
      <c r="BE196" s="34"/>
      <c r="BF196" s="34"/>
      <c r="BG196" s="6">
        <v>81</v>
      </c>
      <c r="BH196" s="34"/>
      <c r="BI196" s="6">
        <v>201</v>
      </c>
      <c r="BJ196" s="34"/>
      <c r="BK196" s="6">
        <v>118</v>
      </c>
      <c r="BN196" s="34"/>
      <c r="BO196" s="34"/>
      <c r="BP196" s="34"/>
      <c r="BQ196" s="1">
        <v>200</v>
      </c>
      <c r="BR196" s="34"/>
      <c r="BS196" s="1">
        <v>24</v>
      </c>
      <c r="BT196" s="34"/>
      <c r="BU196" s="1">
        <v>197</v>
      </c>
      <c r="BV196" s="34"/>
      <c r="BW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</row>
    <row r="197" spans="1:98">
      <c r="A197" s="1" t="s">
        <v>289</v>
      </c>
      <c r="B197" s="1" t="s">
        <v>290</v>
      </c>
      <c r="C197" s="35" t="s">
        <v>375</v>
      </c>
      <c r="D197" s="63">
        <v>67.22</v>
      </c>
      <c r="E197" s="63">
        <v>2.93</v>
      </c>
      <c r="F197" s="1" t="s">
        <v>308</v>
      </c>
      <c r="G197" s="1" t="s">
        <v>199</v>
      </c>
      <c r="I197" s="68">
        <f>949.9+1.1</f>
        <v>951</v>
      </c>
      <c r="J197" s="1" t="s">
        <v>256</v>
      </c>
      <c r="K197" s="1" t="s">
        <v>52</v>
      </c>
      <c r="L197" s="1" t="s">
        <v>864</v>
      </c>
      <c r="M197" s="78" t="s">
        <v>862</v>
      </c>
      <c r="N197" s="78"/>
      <c r="P197" s="1" t="s">
        <v>399</v>
      </c>
      <c r="Q197" s="1" t="s">
        <v>403</v>
      </c>
      <c r="R197" s="4">
        <v>47.746000000000002</v>
      </c>
      <c r="S197" s="4">
        <v>1.661</v>
      </c>
      <c r="T197" s="4">
        <v>13.195</v>
      </c>
      <c r="U197" s="4">
        <v>11.885999999999999</v>
      </c>
      <c r="V197" s="4">
        <v>3.05</v>
      </c>
      <c r="W197" s="4">
        <v>8.1000000000000003E-2</v>
      </c>
      <c r="X197" s="4">
        <v>9.6639999999999997</v>
      </c>
      <c r="Y197" s="4">
        <v>6.1550000000000002</v>
      </c>
      <c r="Z197" s="4">
        <v>2.54</v>
      </c>
      <c r="AA197" s="4">
        <v>0.36</v>
      </c>
      <c r="AB197" s="4">
        <v>0.124</v>
      </c>
      <c r="AC197" s="67">
        <v>3.0289999999999999</v>
      </c>
      <c r="AD197" s="23">
        <f t="shared" si="171"/>
        <v>99.491</v>
      </c>
      <c r="AE197" s="21">
        <f t="shared" si="172"/>
        <v>13.735513999999998</v>
      </c>
      <c r="AF197" s="23">
        <f t="shared" si="173"/>
        <v>0.55640106820984947</v>
      </c>
      <c r="AH197" s="16">
        <f t="shared" si="174"/>
        <v>49.49721133710684</v>
      </c>
      <c r="AI197" s="16">
        <f t="shared" si="175"/>
        <v>1.7219215857021417</v>
      </c>
      <c r="AJ197" s="16">
        <f t="shared" si="176"/>
        <v>13.678961663660301</v>
      </c>
      <c r="AK197" s="16">
        <f t="shared" si="177"/>
        <v>12.321950612676494</v>
      </c>
      <c r="AL197" s="16">
        <f t="shared" si="178"/>
        <v>3.1618668491219339</v>
      </c>
      <c r="AM197" s="16">
        <f t="shared" si="179"/>
        <v>8.3970890091434963E-2</v>
      </c>
      <c r="AN197" s="16">
        <f t="shared" si="180"/>
        <v>10.018452862267006</v>
      </c>
      <c r="AO197" s="16">
        <f t="shared" si="181"/>
        <v>6.380750969293608</v>
      </c>
      <c r="AP197" s="16">
        <f t="shared" si="182"/>
        <v>2.6331612448425288</v>
      </c>
      <c r="AQ197" s="16">
        <f t="shared" si="183"/>
        <v>0.37320395596193318</v>
      </c>
      <c r="AR197" s="16">
        <f t="shared" si="184"/>
        <v>0.12854802927577699</v>
      </c>
      <c r="AS197" s="16">
        <f t="shared" si="185"/>
        <v>100</v>
      </c>
      <c r="AT197" s="16">
        <f t="shared" si="186"/>
        <v>14.239300449918101</v>
      </c>
      <c r="AV197" s="1" t="s">
        <v>402</v>
      </c>
      <c r="AY197" s="34"/>
      <c r="AZ197" s="34"/>
      <c r="BA197" s="6">
        <v>289</v>
      </c>
      <c r="BB197" s="34"/>
      <c r="BC197" s="6">
        <v>248</v>
      </c>
      <c r="BD197" s="34"/>
      <c r="BE197" s="34"/>
      <c r="BF197" s="34"/>
      <c r="BG197" s="6">
        <v>112</v>
      </c>
      <c r="BH197" s="34"/>
      <c r="BI197" s="6">
        <v>353</v>
      </c>
      <c r="BJ197" s="34"/>
      <c r="BK197" s="6">
        <v>112</v>
      </c>
      <c r="BN197" s="34"/>
      <c r="BO197" s="34"/>
      <c r="BP197" s="34"/>
      <c r="BQ197" s="1">
        <v>150</v>
      </c>
      <c r="BR197" s="34"/>
      <c r="BS197" s="1">
        <v>39</v>
      </c>
      <c r="BT197" s="34"/>
      <c r="BU197" s="1">
        <v>178</v>
      </c>
      <c r="BV197" s="34"/>
      <c r="BW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</row>
    <row r="198" spans="1:98">
      <c r="A198" s="1" t="s">
        <v>289</v>
      </c>
      <c r="B198" s="1" t="s">
        <v>290</v>
      </c>
      <c r="C198" s="35" t="s">
        <v>376</v>
      </c>
      <c r="D198" s="63">
        <v>67.22</v>
      </c>
      <c r="E198" s="63">
        <v>2.93</v>
      </c>
      <c r="F198" s="1" t="s">
        <v>308</v>
      </c>
      <c r="G198" s="1" t="s">
        <v>142</v>
      </c>
      <c r="I198" s="68">
        <f>951.4+1.09</f>
        <v>952.49</v>
      </c>
      <c r="J198" s="1" t="s">
        <v>256</v>
      </c>
      <c r="K198" s="1" t="s">
        <v>52</v>
      </c>
      <c r="L198" s="1" t="s">
        <v>864</v>
      </c>
      <c r="M198" s="78" t="s">
        <v>862</v>
      </c>
      <c r="N198" s="78"/>
      <c r="P198" s="1" t="s">
        <v>399</v>
      </c>
      <c r="Q198" s="1" t="s">
        <v>403</v>
      </c>
      <c r="R198" s="4">
        <v>48.889000000000003</v>
      </c>
      <c r="S198" s="4">
        <v>1.698</v>
      </c>
      <c r="T198" s="4">
        <v>15.279</v>
      </c>
      <c r="U198" s="4">
        <v>6.2119999999999997</v>
      </c>
      <c r="V198" s="4">
        <v>4.7699999999999996</v>
      </c>
      <c r="W198" s="4">
        <v>0.32900000000000001</v>
      </c>
      <c r="X198" s="4">
        <v>7.6609999999999996</v>
      </c>
      <c r="Y198" s="4">
        <v>10.462</v>
      </c>
      <c r="Z198" s="4">
        <v>2.5</v>
      </c>
      <c r="AA198" s="4">
        <v>0.35399999999999998</v>
      </c>
      <c r="AB198" s="4">
        <v>0.16400000000000001</v>
      </c>
      <c r="AC198" s="67">
        <v>1.9710000000000001</v>
      </c>
      <c r="AD198" s="23">
        <f t="shared" si="171"/>
        <v>100.289</v>
      </c>
      <c r="AE198" s="21">
        <f t="shared" si="172"/>
        <v>10.354588</v>
      </c>
      <c r="AF198" s="23">
        <f t="shared" si="173"/>
        <v>0.56877586337646324</v>
      </c>
      <c r="AH198" s="16">
        <f t="shared" si="174"/>
        <v>49.725380906853282</v>
      </c>
      <c r="AI198" s="16">
        <f t="shared" si="175"/>
        <v>1.7270489635672002</v>
      </c>
      <c r="AJ198" s="16">
        <f t="shared" si="176"/>
        <v>15.540389348847619</v>
      </c>
      <c r="AK198" s="16">
        <f t="shared" si="177"/>
        <v>6.3182733578795336</v>
      </c>
      <c r="AL198" s="16">
        <f t="shared" si="178"/>
        <v>4.8516039789255272</v>
      </c>
      <c r="AM198" s="16">
        <f t="shared" si="179"/>
        <v>0.33462845053805002</v>
      </c>
      <c r="AN198" s="16">
        <f t="shared" si="180"/>
        <v>7.7920624911003067</v>
      </c>
      <c r="AO198" s="16">
        <f t="shared" si="181"/>
        <v>10.640981305559512</v>
      </c>
      <c r="AP198" s="16">
        <f t="shared" si="182"/>
        <v>2.5427693809882221</v>
      </c>
      <c r="AQ198" s="16">
        <f t="shared" si="183"/>
        <v>0.36005614434793221</v>
      </c>
      <c r="AR198" s="16">
        <f t="shared" si="184"/>
        <v>0.16680567139282737</v>
      </c>
      <c r="AS198" s="16">
        <f t="shared" si="185"/>
        <v>100</v>
      </c>
      <c r="AT198" s="16">
        <f t="shared" si="186"/>
        <v>10.531731727659228</v>
      </c>
      <c r="AV198" s="1" t="s">
        <v>402</v>
      </c>
      <c r="AY198" s="34"/>
      <c r="AZ198" s="34"/>
      <c r="BA198" s="6">
        <v>308</v>
      </c>
      <c r="BB198" s="34"/>
      <c r="BC198" s="6">
        <v>294</v>
      </c>
      <c r="BD198" s="34"/>
      <c r="BE198" s="34"/>
      <c r="BF198" s="34"/>
      <c r="BG198" s="6">
        <v>79</v>
      </c>
      <c r="BH198" s="34"/>
      <c r="BI198" s="6">
        <v>186</v>
      </c>
      <c r="BJ198" s="34"/>
      <c r="BK198" s="6">
        <v>94</v>
      </c>
      <c r="BN198" s="34"/>
      <c r="BO198" s="34"/>
      <c r="BP198" s="34"/>
      <c r="BQ198" s="1">
        <v>167</v>
      </c>
      <c r="BR198" s="34"/>
      <c r="BS198" s="1">
        <v>20</v>
      </c>
      <c r="BT198" s="34"/>
      <c r="BU198" s="1">
        <v>166</v>
      </c>
      <c r="BV198" s="34"/>
      <c r="BW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</row>
    <row r="199" spans="1:98">
      <c r="A199" s="1" t="s">
        <v>289</v>
      </c>
      <c r="B199" s="1" t="s">
        <v>290</v>
      </c>
      <c r="C199" s="35" t="s">
        <v>377</v>
      </c>
      <c r="D199" s="63">
        <v>67.22</v>
      </c>
      <c r="E199" s="63">
        <v>2.93</v>
      </c>
      <c r="F199" s="1" t="s">
        <v>308</v>
      </c>
      <c r="G199" s="1" t="s">
        <v>208</v>
      </c>
      <c r="I199" s="68">
        <f>968.3+0.9</f>
        <v>969.19999999999993</v>
      </c>
      <c r="J199" s="1" t="s">
        <v>256</v>
      </c>
      <c r="K199" s="1" t="s">
        <v>52</v>
      </c>
      <c r="L199" s="1" t="s">
        <v>864</v>
      </c>
      <c r="M199" s="78" t="s">
        <v>862</v>
      </c>
      <c r="N199" s="78"/>
      <c r="P199" s="1" t="s">
        <v>399</v>
      </c>
      <c r="Q199" s="1" t="s">
        <v>403</v>
      </c>
      <c r="R199" s="4">
        <v>48.238999999999997</v>
      </c>
      <c r="S199" s="4">
        <v>1.75</v>
      </c>
      <c r="T199" s="4">
        <v>14.398</v>
      </c>
      <c r="U199" s="4">
        <v>6.7789999999999999</v>
      </c>
      <c r="V199" s="4">
        <v>5.61</v>
      </c>
      <c r="W199" s="4">
        <v>0.23100000000000001</v>
      </c>
      <c r="X199" s="4">
        <v>7.343</v>
      </c>
      <c r="Y199" s="4">
        <v>10.88</v>
      </c>
      <c r="Z199" s="4">
        <v>2.67</v>
      </c>
      <c r="AA199" s="4">
        <v>0.27400000000000002</v>
      </c>
      <c r="AB199" s="4">
        <v>0.19400000000000001</v>
      </c>
      <c r="AC199" s="67">
        <v>1.1040000000000001</v>
      </c>
      <c r="AD199" s="23">
        <f t="shared" si="171"/>
        <v>99.471999999999994</v>
      </c>
      <c r="AE199" s="21">
        <f t="shared" si="172"/>
        <v>11.704321</v>
      </c>
      <c r="AF199" s="23">
        <f t="shared" si="173"/>
        <v>0.52795457348943442</v>
      </c>
      <c r="AH199" s="16">
        <f t="shared" si="174"/>
        <v>49.039321730644112</v>
      </c>
      <c r="AI199" s="16">
        <f t="shared" si="175"/>
        <v>1.7790338321405337</v>
      </c>
      <c r="AJ199" s="16">
        <f t="shared" si="176"/>
        <v>14.636873780091086</v>
      </c>
      <c r="AK199" s="16">
        <f t="shared" si="177"/>
        <v>6.8914687703318149</v>
      </c>
      <c r="AL199" s="16">
        <f t="shared" si="178"/>
        <v>5.7030741704619388</v>
      </c>
      <c r="AM199" s="16">
        <f t="shared" si="179"/>
        <v>0.23483246584255044</v>
      </c>
      <c r="AN199" s="16">
        <f t="shared" si="180"/>
        <v>7.4648259596616784</v>
      </c>
      <c r="AO199" s="16">
        <f t="shared" si="181"/>
        <v>11.060507482108003</v>
      </c>
      <c r="AP199" s="16">
        <f t="shared" si="182"/>
        <v>2.7142973324658426</v>
      </c>
      <c r="AQ199" s="16">
        <f t="shared" si="183"/>
        <v>0.2785458685751464</v>
      </c>
      <c r="AR199" s="16">
        <f t="shared" si="184"/>
        <v>0.19721860767729346</v>
      </c>
      <c r="AS199" s="16">
        <f t="shared" si="185"/>
        <v>100.00000000000001</v>
      </c>
      <c r="AT199" s="16">
        <f t="shared" si="186"/>
        <v>11.898504594990239</v>
      </c>
      <c r="AV199" s="1" t="s">
        <v>402</v>
      </c>
      <c r="AY199" s="34"/>
      <c r="AZ199" s="34"/>
      <c r="BA199" s="6">
        <v>331</v>
      </c>
      <c r="BB199" s="34"/>
      <c r="BC199" s="6">
        <v>239</v>
      </c>
      <c r="BD199" s="34"/>
      <c r="BE199" s="34"/>
      <c r="BF199" s="34"/>
      <c r="BG199" s="6">
        <v>91</v>
      </c>
      <c r="BH199" s="34"/>
      <c r="BI199" s="6">
        <v>57</v>
      </c>
      <c r="BJ199" s="34"/>
      <c r="BK199" s="6">
        <v>99</v>
      </c>
      <c r="BN199" s="34"/>
      <c r="BO199" s="34"/>
      <c r="BP199" s="34"/>
      <c r="BQ199" s="1">
        <v>181</v>
      </c>
      <c r="BR199" s="34"/>
      <c r="BS199" s="1">
        <v>30</v>
      </c>
      <c r="BT199" s="34"/>
      <c r="BU199" s="1">
        <v>203</v>
      </c>
      <c r="BV199" s="34"/>
      <c r="BW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</row>
    <row r="200" spans="1:98">
      <c r="A200" s="1" t="s">
        <v>289</v>
      </c>
      <c r="B200" s="1" t="s">
        <v>290</v>
      </c>
      <c r="C200" s="35" t="s">
        <v>378</v>
      </c>
      <c r="D200" s="63">
        <v>67.22</v>
      </c>
      <c r="E200" s="63">
        <v>2.93</v>
      </c>
      <c r="F200" s="1" t="s">
        <v>308</v>
      </c>
      <c r="G200" s="1" t="s">
        <v>179</v>
      </c>
      <c r="I200" s="68">
        <f>988.8+0.85</f>
        <v>989.65</v>
      </c>
      <c r="J200" s="1" t="s">
        <v>256</v>
      </c>
      <c r="K200" s="1" t="s">
        <v>52</v>
      </c>
      <c r="L200" s="1" t="s">
        <v>864</v>
      </c>
      <c r="M200" s="78" t="s">
        <v>862</v>
      </c>
      <c r="N200" s="78"/>
      <c r="P200" s="1" t="s">
        <v>399</v>
      </c>
      <c r="Q200" s="1" t="s">
        <v>403</v>
      </c>
      <c r="R200" s="4">
        <v>48.604999999999997</v>
      </c>
      <c r="S200" s="4">
        <v>1.833</v>
      </c>
      <c r="T200" s="4">
        <v>14.971</v>
      </c>
      <c r="U200" s="4">
        <v>6.032</v>
      </c>
      <c r="V200" s="4">
        <v>5.1100000000000003</v>
      </c>
      <c r="W200" s="4">
        <v>0.307</v>
      </c>
      <c r="X200" s="4">
        <v>7.2770000000000001</v>
      </c>
      <c r="Y200" s="4">
        <v>11.396000000000001</v>
      </c>
      <c r="Z200" s="4">
        <v>2.58</v>
      </c>
      <c r="AA200" s="4">
        <v>0.20699999999999999</v>
      </c>
      <c r="AB200" s="4">
        <v>0.17299999999999999</v>
      </c>
      <c r="AC200" s="67">
        <v>1.119</v>
      </c>
      <c r="AD200" s="23">
        <f t="shared" si="171"/>
        <v>99.609999999999985</v>
      </c>
      <c r="AE200" s="21">
        <f t="shared" si="172"/>
        <v>10.532768000000001</v>
      </c>
      <c r="AF200" s="23">
        <f t="shared" si="173"/>
        <v>0.55190561728396714</v>
      </c>
      <c r="AH200" s="16">
        <f t="shared" si="174"/>
        <v>49.349686773410774</v>
      </c>
      <c r="AI200" s="16">
        <f t="shared" si="175"/>
        <v>1.8610837538455292</v>
      </c>
      <c r="AJ200" s="16">
        <f t="shared" si="176"/>
        <v>15.200373638200446</v>
      </c>
      <c r="AK200" s="16">
        <f t="shared" si="177"/>
        <v>6.1244174594633023</v>
      </c>
      <c r="AL200" s="16">
        <f t="shared" si="178"/>
        <v>5.1882913159578044</v>
      </c>
      <c r="AM200" s="16">
        <f t="shared" si="179"/>
        <v>0.3117036074362125</v>
      </c>
      <c r="AN200" s="16">
        <f t="shared" si="180"/>
        <v>7.3884923495547836</v>
      </c>
      <c r="AO200" s="16">
        <f t="shared" si="181"/>
        <v>11.570600359423707</v>
      </c>
      <c r="AP200" s="16">
        <f t="shared" si="182"/>
        <v>2.6195286879004178</v>
      </c>
      <c r="AQ200" s="16">
        <f t="shared" si="183"/>
        <v>0.21017148775014979</v>
      </c>
      <c r="AR200" s="16">
        <f t="shared" si="184"/>
        <v>0.17565056705688845</v>
      </c>
      <c r="AS200" s="16">
        <f t="shared" si="185"/>
        <v>100</v>
      </c>
      <c r="AT200" s="16">
        <f t="shared" si="186"/>
        <v>10.694142612015312</v>
      </c>
      <c r="AV200" s="1" t="s">
        <v>402</v>
      </c>
      <c r="AY200" s="1"/>
      <c r="AZ200" s="1"/>
      <c r="BA200" s="6">
        <v>348</v>
      </c>
      <c r="BB200" s="1"/>
      <c r="BC200" s="6">
        <v>190</v>
      </c>
      <c r="BD200" s="1"/>
      <c r="BE200" s="1"/>
      <c r="BF200" s="1"/>
      <c r="BG200" s="6">
        <v>76</v>
      </c>
      <c r="BH200" s="1"/>
      <c r="BI200" s="6">
        <v>182</v>
      </c>
      <c r="BJ200" s="1"/>
      <c r="BK200" s="6">
        <v>133</v>
      </c>
      <c r="BN200" s="1"/>
      <c r="BO200" s="1"/>
      <c r="BP200" s="1"/>
      <c r="BQ200" s="1">
        <v>183</v>
      </c>
      <c r="BR200" s="1"/>
      <c r="BS200" s="1">
        <v>23</v>
      </c>
      <c r="BT200" s="1"/>
      <c r="BU200" s="1">
        <v>195</v>
      </c>
      <c r="BV200" s="1"/>
      <c r="BW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</row>
    <row r="201" spans="1:98">
      <c r="A201" s="1" t="s">
        <v>289</v>
      </c>
      <c r="B201" s="1" t="s">
        <v>290</v>
      </c>
      <c r="C201" s="35" t="s">
        <v>379</v>
      </c>
      <c r="D201" s="63">
        <v>67.22</v>
      </c>
      <c r="E201" s="63">
        <v>2.93</v>
      </c>
      <c r="F201" s="1" t="s">
        <v>308</v>
      </c>
      <c r="G201" s="1" t="s">
        <v>177</v>
      </c>
      <c r="I201" s="68">
        <f>1006.3+0.71</f>
        <v>1007.01</v>
      </c>
      <c r="J201" s="1" t="s">
        <v>256</v>
      </c>
      <c r="K201" s="1" t="s">
        <v>52</v>
      </c>
      <c r="L201" s="1" t="s">
        <v>864</v>
      </c>
      <c r="M201" s="78" t="s">
        <v>862</v>
      </c>
      <c r="N201" s="78"/>
      <c r="P201" s="1" t="s">
        <v>399</v>
      </c>
      <c r="Q201" s="1" t="s">
        <v>403</v>
      </c>
      <c r="R201" s="4">
        <v>48.542000000000002</v>
      </c>
      <c r="S201" s="4">
        <v>1.839</v>
      </c>
      <c r="T201" s="4">
        <v>14.31</v>
      </c>
      <c r="U201" s="4">
        <v>5.008</v>
      </c>
      <c r="V201" s="4">
        <v>6.65</v>
      </c>
      <c r="W201" s="4">
        <v>0.193</v>
      </c>
      <c r="X201" s="4">
        <v>7.2539999999999996</v>
      </c>
      <c r="Y201" s="4">
        <v>11.657</v>
      </c>
      <c r="Z201" s="4">
        <v>2.58</v>
      </c>
      <c r="AA201" s="4">
        <v>0.152</v>
      </c>
      <c r="AB201" s="4">
        <v>0.187</v>
      </c>
      <c r="AC201" s="67">
        <v>1.52</v>
      </c>
      <c r="AD201" s="23">
        <f t="shared" si="171"/>
        <v>99.891999999999996</v>
      </c>
      <c r="AE201" s="21">
        <f t="shared" si="172"/>
        <v>11.152191999999999</v>
      </c>
      <c r="AF201" s="23">
        <f t="shared" si="173"/>
        <v>0.53694817562715202</v>
      </c>
      <c r="AH201" s="16">
        <f t="shared" si="174"/>
        <v>49.345342170536327</v>
      </c>
      <c r="AI201" s="16">
        <f t="shared" si="175"/>
        <v>1.8694343919001342</v>
      </c>
      <c r="AJ201" s="16">
        <f t="shared" si="176"/>
        <v>14.546822266498598</v>
      </c>
      <c r="AK201" s="16">
        <f t="shared" si="177"/>
        <v>5.0908795185621925</v>
      </c>
      <c r="AL201" s="16">
        <f t="shared" si="178"/>
        <v>6.7600536738096206</v>
      </c>
      <c r="AM201" s="16">
        <f t="shared" si="179"/>
        <v>0.19619403895417395</v>
      </c>
      <c r="AN201" s="16">
        <f t="shared" si="180"/>
        <v>7.3740495262879682</v>
      </c>
      <c r="AO201" s="16">
        <f t="shared" si="181"/>
        <v>11.84991664294718</v>
      </c>
      <c r="AP201" s="16">
        <f t="shared" si="182"/>
        <v>2.6226975155532064</v>
      </c>
      <c r="AQ201" s="16">
        <f t="shared" si="183"/>
        <v>0.15451551254421989</v>
      </c>
      <c r="AR201" s="16">
        <f t="shared" si="184"/>
        <v>0.19009474240637578</v>
      </c>
      <c r="AS201" s="16">
        <f t="shared" si="185"/>
        <v>100</v>
      </c>
      <c r="AT201" s="16">
        <f t="shared" si="186"/>
        <v>11.33675436099703</v>
      </c>
      <c r="AV201" s="1" t="s">
        <v>402</v>
      </c>
      <c r="AY201" s="1"/>
      <c r="AZ201" s="1"/>
      <c r="BA201" s="6">
        <v>349</v>
      </c>
      <c r="BB201" s="1"/>
      <c r="BC201" s="6">
        <v>167</v>
      </c>
      <c r="BD201" s="1"/>
      <c r="BE201" s="1"/>
      <c r="BF201" s="1"/>
      <c r="BG201" s="6">
        <v>85</v>
      </c>
      <c r="BH201" s="1"/>
      <c r="BI201" s="6">
        <v>93</v>
      </c>
      <c r="BJ201" s="1"/>
      <c r="BK201" s="6">
        <v>99</v>
      </c>
      <c r="BN201" s="1"/>
      <c r="BO201" s="1"/>
      <c r="BP201" s="1"/>
      <c r="BQ201" s="1">
        <v>181</v>
      </c>
      <c r="BR201" s="1"/>
      <c r="BS201" s="1">
        <v>26</v>
      </c>
      <c r="BT201" s="1"/>
      <c r="BU201" s="1">
        <v>196</v>
      </c>
      <c r="BV201" s="1"/>
      <c r="BW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</row>
    <row r="202" spans="1:98">
      <c r="A202" s="1" t="s">
        <v>289</v>
      </c>
      <c r="B202" s="1" t="s">
        <v>290</v>
      </c>
      <c r="C202" s="35" t="s">
        <v>380</v>
      </c>
      <c r="D202" s="63">
        <v>67.22</v>
      </c>
      <c r="E202" s="63">
        <v>2.93</v>
      </c>
      <c r="F202" s="1" t="s">
        <v>308</v>
      </c>
      <c r="G202" s="1" t="s">
        <v>165</v>
      </c>
      <c r="I202" s="68">
        <f>1015.8+0.44</f>
        <v>1016.24</v>
      </c>
      <c r="J202" s="1" t="s">
        <v>256</v>
      </c>
      <c r="K202" s="1" t="s">
        <v>52</v>
      </c>
      <c r="L202" s="1" t="s">
        <v>864</v>
      </c>
      <c r="M202" s="78" t="s">
        <v>862</v>
      </c>
      <c r="N202" s="78"/>
      <c r="P202" s="1" t="s">
        <v>399</v>
      </c>
      <c r="Q202" s="1" t="s">
        <v>403</v>
      </c>
      <c r="R202" s="4">
        <v>48.774000000000001</v>
      </c>
      <c r="S202" s="4">
        <v>1.5680000000000001</v>
      </c>
      <c r="T202" s="4">
        <v>14.939</v>
      </c>
      <c r="U202" s="4">
        <v>5.6070000000000002</v>
      </c>
      <c r="V202" s="4">
        <v>6.27</v>
      </c>
      <c r="W202" s="4">
        <v>0.23899999999999999</v>
      </c>
      <c r="X202" s="4">
        <v>7.202</v>
      </c>
      <c r="Y202" s="4">
        <v>11.023999999999999</v>
      </c>
      <c r="Z202" s="4">
        <v>2.4900000000000002</v>
      </c>
      <c r="AA202" s="4">
        <v>0.128</v>
      </c>
      <c r="AB202" s="4">
        <v>0.155</v>
      </c>
      <c r="AC202" s="67">
        <v>1.3480000000000001</v>
      </c>
      <c r="AD202" s="23">
        <f t="shared" si="171"/>
        <v>99.744</v>
      </c>
      <c r="AE202" s="21">
        <f t="shared" si="172"/>
        <v>11.310693000000001</v>
      </c>
      <c r="AF202" s="23">
        <f t="shared" si="173"/>
        <v>0.53164659820967242</v>
      </c>
      <c r="AH202" s="16">
        <f t="shared" si="174"/>
        <v>49.569088174316022</v>
      </c>
      <c r="AI202" s="16">
        <f t="shared" si="175"/>
        <v>1.5935607138501566</v>
      </c>
      <c r="AJ202" s="16">
        <f t="shared" si="176"/>
        <v>15.182527745030287</v>
      </c>
      <c r="AK202" s="16">
        <f t="shared" si="177"/>
        <v>5.6984023740802474</v>
      </c>
      <c r="AL202" s="16">
        <f t="shared" si="178"/>
        <v>6.3722102524492863</v>
      </c>
      <c r="AM202" s="16">
        <f t="shared" si="179"/>
        <v>0.24289605268506848</v>
      </c>
      <c r="AN202" s="16">
        <f t="shared" si="180"/>
        <v>7.3194032277734875</v>
      </c>
      <c r="AO202" s="16">
        <f t="shared" si="181"/>
        <v>11.203707467783241</v>
      </c>
      <c r="AP202" s="16">
        <f t="shared" si="182"/>
        <v>2.5305906744176596</v>
      </c>
      <c r="AQ202" s="16">
        <f t="shared" si="183"/>
        <v>0.13008658888572708</v>
      </c>
      <c r="AR202" s="16">
        <f t="shared" si="184"/>
        <v>0.1575267287288101</v>
      </c>
      <c r="AS202" s="16">
        <f t="shared" si="185"/>
        <v>100.00000000000001</v>
      </c>
      <c r="AT202" s="16">
        <f t="shared" si="186"/>
        <v>11.495073986747428</v>
      </c>
      <c r="AV202" s="1" t="s">
        <v>402</v>
      </c>
      <c r="AY202" s="1"/>
      <c r="AZ202" s="1"/>
      <c r="BA202" s="6">
        <v>322</v>
      </c>
      <c r="BB202" s="1"/>
      <c r="BC202" s="6">
        <v>129</v>
      </c>
      <c r="BD202" s="1"/>
      <c r="BE202" s="1"/>
      <c r="BF202" s="1"/>
      <c r="BG202" s="6">
        <v>62</v>
      </c>
      <c r="BH202" s="1"/>
      <c r="BI202" s="6">
        <v>154</v>
      </c>
      <c r="BJ202" s="1"/>
      <c r="BK202" s="6">
        <v>92</v>
      </c>
      <c r="BN202" s="1"/>
      <c r="BO202" s="1"/>
      <c r="BP202" s="1"/>
      <c r="BQ202" s="1">
        <v>149</v>
      </c>
      <c r="BR202" s="1"/>
      <c r="BS202" s="1">
        <v>22</v>
      </c>
      <c r="BT202" s="1"/>
      <c r="BU202" s="1">
        <v>173</v>
      </c>
      <c r="BV202" s="1"/>
      <c r="BW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</row>
    <row r="203" spans="1:98">
      <c r="A203" s="1" t="s">
        <v>289</v>
      </c>
      <c r="B203" s="1" t="s">
        <v>290</v>
      </c>
      <c r="C203" s="8" t="s">
        <v>321</v>
      </c>
      <c r="D203" s="63">
        <v>67.22</v>
      </c>
      <c r="E203" s="63">
        <v>2.93</v>
      </c>
      <c r="F203" s="1" t="s">
        <v>308</v>
      </c>
      <c r="G203" s="1" t="s">
        <v>307</v>
      </c>
      <c r="I203" s="68">
        <f>1017.24+0.88</f>
        <v>1018.12</v>
      </c>
      <c r="J203" s="1" t="s">
        <v>311</v>
      </c>
      <c r="K203" s="1" t="s">
        <v>318</v>
      </c>
      <c r="L203" s="1" t="s">
        <v>864</v>
      </c>
      <c r="M203" s="78" t="s">
        <v>862</v>
      </c>
      <c r="N203" s="78"/>
      <c r="P203" s="1" t="s">
        <v>399</v>
      </c>
      <c r="Q203" s="1" t="s">
        <v>403</v>
      </c>
      <c r="R203" s="4">
        <v>48.197000000000003</v>
      </c>
      <c r="S203" s="4">
        <v>1.7250000000000001</v>
      </c>
      <c r="T203" s="4">
        <v>14.925000000000001</v>
      </c>
      <c r="U203" s="4">
        <v>13.324</v>
      </c>
      <c r="V203" s="4">
        <v>1.41</v>
      </c>
      <c r="W203" s="4">
        <v>0.10299999999999999</v>
      </c>
      <c r="X203" s="4">
        <v>7.0659999999999998</v>
      </c>
      <c r="Y203" s="4">
        <v>5.4089999999999998</v>
      </c>
      <c r="Z203" s="4">
        <v>2.87</v>
      </c>
      <c r="AA203" s="4">
        <v>0.90500000000000003</v>
      </c>
      <c r="AB203" s="4">
        <v>0.20399999999999999</v>
      </c>
      <c r="AC203" s="67">
        <v>3.3170000000000002</v>
      </c>
      <c r="AD203" s="23">
        <f>SUM(R203:AB203)+AC203</f>
        <v>99.455000000000013</v>
      </c>
      <c r="AE203" s="21">
        <f>V203+0.899*U203</f>
        <v>13.388275999999999</v>
      </c>
      <c r="AF203" s="23">
        <f>(X203/40.3)/((X203/40.3)+(AE203/71.844))</f>
        <v>0.48476990867447545</v>
      </c>
      <c r="AH203" s="16">
        <f t="shared" ref="AH203:AR203" si="187">100*R203/SUM($R203:$AB203)</f>
        <v>50.133141941792012</v>
      </c>
      <c r="AI203" s="16">
        <f t="shared" si="187"/>
        <v>1.7942956999313486</v>
      </c>
      <c r="AJ203" s="16">
        <f t="shared" si="187"/>
        <v>15.524558447232103</v>
      </c>
      <c r="AK203" s="16">
        <f t="shared" si="187"/>
        <v>13.859244003411762</v>
      </c>
      <c r="AL203" s="16">
        <f t="shared" si="187"/>
        <v>1.4666417025525806</v>
      </c>
      <c r="AM203" s="16">
        <f t="shared" si="187"/>
        <v>0.10713765628575588</v>
      </c>
      <c r="AN203" s="16">
        <f t="shared" si="187"/>
        <v>7.3498512554869038</v>
      </c>
      <c r="AO203" s="16">
        <f t="shared" si="187"/>
        <v>5.6262872121325591</v>
      </c>
      <c r="AP203" s="16">
        <f t="shared" si="187"/>
        <v>2.9852919761176642</v>
      </c>
      <c r="AQ203" s="16">
        <f t="shared" si="187"/>
        <v>0.94135513532630177</v>
      </c>
      <c r="AR203" s="16">
        <f t="shared" si="187"/>
        <v>0.21219496973101165</v>
      </c>
      <c r="AS203" s="16">
        <f>SUM(AH203:AR203)</f>
        <v>100.00000000000001</v>
      </c>
      <c r="AT203" s="16">
        <f>AL203+0.899*AK203</f>
        <v>13.926102061619755</v>
      </c>
      <c r="AV203" s="1" t="s">
        <v>402</v>
      </c>
      <c r="AY203" s="1"/>
      <c r="AZ203" s="1"/>
      <c r="BA203" s="6">
        <v>279</v>
      </c>
      <c r="BB203" s="1"/>
      <c r="BC203" s="6">
        <v>166</v>
      </c>
      <c r="BD203" s="1"/>
      <c r="BE203" s="1"/>
      <c r="BF203" s="1"/>
      <c r="BG203" s="6">
        <v>78</v>
      </c>
      <c r="BH203" s="1"/>
      <c r="BI203" s="6">
        <v>543</v>
      </c>
      <c r="BJ203" s="1"/>
      <c r="BK203" s="6">
        <v>74</v>
      </c>
      <c r="BN203" s="1"/>
      <c r="BO203" s="1"/>
      <c r="BP203" s="1"/>
      <c r="BQ203" s="1">
        <v>154</v>
      </c>
      <c r="BR203" s="1"/>
      <c r="BS203" s="1">
        <v>28</v>
      </c>
      <c r="BT203" s="1"/>
      <c r="BU203" s="1">
        <v>210</v>
      </c>
      <c r="BV203" s="1"/>
      <c r="BW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</row>
    <row r="204" spans="1:98">
      <c r="A204" s="1" t="s">
        <v>289</v>
      </c>
      <c r="B204" s="1" t="s">
        <v>290</v>
      </c>
      <c r="C204" s="35" t="s">
        <v>381</v>
      </c>
      <c r="D204" s="63">
        <v>67.22</v>
      </c>
      <c r="E204" s="63">
        <v>2.93</v>
      </c>
      <c r="F204" s="1" t="s">
        <v>308</v>
      </c>
      <c r="G204" s="1" t="s">
        <v>200</v>
      </c>
      <c r="I204" s="68">
        <f>1017.24+1.31</f>
        <v>1018.55</v>
      </c>
      <c r="J204" s="1" t="s">
        <v>256</v>
      </c>
      <c r="K204" s="1" t="s">
        <v>52</v>
      </c>
      <c r="L204" s="1" t="s">
        <v>864</v>
      </c>
      <c r="M204" s="78" t="s">
        <v>862</v>
      </c>
      <c r="N204" s="78"/>
      <c r="P204" s="1" t="s">
        <v>399</v>
      </c>
      <c r="Q204" s="1" t="s">
        <v>403</v>
      </c>
      <c r="R204" s="4">
        <v>48.328000000000003</v>
      </c>
      <c r="S204" s="4">
        <v>1.613</v>
      </c>
      <c r="T204" s="4">
        <v>14.951000000000001</v>
      </c>
      <c r="U204" s="4">
        <v>6.31</v>
      </c>
      <c r="V204" s="4">
        <v>5.37</v>
      </c>
      <c r="W204" s="4">
        <v>0.309</v>
      </c>
      <c r="X204" s="4">
        <v>7.992</v>
      </c>
      <c r="Y204" s="4">
        <v>10.388999999999999</v>
      </c>
      <c r="Z204" s="4">
        <v>2.5499999999999998</v>
      </c>
      <c r="AA204" s="4">
        <v>0.155</v>
      </c>
      <c r="AB204" s="4">
        <v>0.17399999999999999</v>
      </c>
      <c r="AC204" s="67">
        <v>1.798</v>
      </c>
      <c r="AD204" s="23">
        <f t="shared" si="171"/>
        <v>99.939000000000007</v>
      </c>
      <c r="AE204" s="21">
        <f t="shared" si="172"/>
        <v>11.04269</v>
      </c>
      <c r="AF204" s="23">
        <f t="shared" si="173"/>
        <v>0.56336201833195931</v>
      </c>
      <c r="AH204" s="16">
        <f t="shared" si="174"/>
        <v>49.243435465299925</v>
      </c>
      <c r="AI204" s="16">
        <f t="shared" si="175"/>
        <v>1.6435536625875016</v>
      </c>
      <c r="AJ204" s="16">
        <f t="shared" si="176"/>
        <v>15.234203849563384</v>
      </c>
      <c r="AK204" s="16">
        <f t="shared" si="177"/>
        <v>6.4295248672827867</v>
      </c>
      <c r="AL204" s="16">
        <f t="shared" si="178"/>
        <v>5.4717192610631642</v>
      </c>
      <c r="AM204" s="16">
        <f t="shared" si="179"/>
        <v>0.31485311949134404</v>
      </c>
      <c r="AN204" s="16">
        <f t="shared" si="180"/>
        <v>8.1433855371353463</v>
      </c>
      <c r="AO204" s="16">
        <f t="shared" si="181"/>
        <v>10.585789832995383</v>
      </c>
      <c r="AP204" s="16">
        <f t="shared" si="182"/>
        <v>2.5983024424042953</v>
      </c>
      <c r="AQ204" s="16">
        <f t="shared" si="183"/>
        <v>0.15793603081281013</v>
      </c>
      <c r="AR204" s="16">
        <f t="shared" si="184"/>
        <v>0.1772959313640578</v>
      </c>
      <c r="AS204" s="16">
        <f t="shared" si="185"/>
        <v>99.999999999999972</v>
      </c>
      <c r="AT204" s="16">
        <f t="shared" si="186"/>
        <v>11.25186211675039</v>
      </c>
      <c r="AV204" s="1" t="s">
        <v>402</v>
      </c>
      <c r="AY204" s="1"/>
      <c r="AZ204" s="1"/>
      <c r="BA204" s="6">
        <v>331</v>
      </c>
      <c r="BB204" s="1"/>
      <c r="BC204" s="6">
        <v>271</v>
      </c>
      <c r="BD204" s="1"/>
      <c r="BE204" s="1"/>
      <c r="BF204" s="1"/>
      <c r="BG204" s="6">
        <v>103</v>
      </c>
      <c r="BH204" s="1"/>
      <c r="BI204" s="6">
        <v>233</v>
      </c>
      <c r="BJ204" s="1"/>
      <c r="BK204" s="6">
        <v>107</v>
      </c>
      <c r="BN204" s="1"/>
      <c r="BO204" s="1"/>
      <c r="BP204" s="1"/>
      <c r="BQ204" s="1">
        <v>169</v>
      </c>
      <c r="BR204" s="1"/>
      <c r="BS204" s="1">
        <v>22</v>
      </c>
      <c r="BT204" s="1"/>
      <c r="BU204" s="1">
        <v>234</v>
      </c>
      <c r="BV204" s="1"/>
      <c r="BW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</row>
    <row r="205" spans="1:98">
      <c r="A205" s="1" t="s">
        <v>289</v>
      </c>
      <c r="B205" s="1" t="s">
        <v>290</v>
      </c>
      <c r="C205" s="8" t="s">
        <v>382</v>
      </c>
      <c r="D205" s="63">
        <v>67.22</v>
      </c>
      <c r="E205" s="63">
        <v>2.93</v>
      </c>
      <c r="F205" s="1" t="s">
        <v>308</v>
      </c>
      <c r="G205" s="36" t="s">
        <v>207</v>
      </c>
      <c r="H205" s="36"/>
      <c r="I205" s="68">
        <f>1025.3+0.71</f>
        <v>1026.01</v>
      </c>
      <c r="J205" s="1" t="s">
        <v>256</v>
      </c>
      <c r="K205" s="1" t="s">
        <v>52</v>
      </c>
      <c r="L205" s="1" t="s">
        <v>864</v>
      </c>
      <c r="M205" s="78" t="s">
        <v>862</v>
      </c>
      <c r="N205" s="78"/>
      <c r="P205" s="1" t="s">
        <v>399</v>
      </c>
      <c r="Q205" s="1" t="s">
        <v>403</v>
      </c>
      <c r="R205" s="4">
        <v>48.75</v>
      </c>
      <c r="S205" s="4">
        <v>1.5629999999999999</v>
      </c>
      <c r="T205" s="4">
        <v>15.64</v>
      </c>
      <c r="U205" s="4">
        <v>7.7759999999999998</v>
      </c>
      <c r="V205" s="4">
        <v>3.88</v>
      </c>
      <c r="W205" s="4">
        <v>0.129</v>
      </c>
      <c r="X205" s="4">
        <v>7.024</v>
      </c>
      <c r="Y205" s="4">
        <v>9.8979999999999997</v>
      </c>
      <c r="Z205" s="4">
        <v>2.69</v>
      </c>
      <c r="AA205" s="4">
        <v>0.48399999999999999</v>
      </c>
      <c r="AB205" s="4">
        <v>0.159</v>
      </c>
      <c r="AC205" s="67">
        <v>1.542</v>
      </c>
      <c r="AD205" s="23">
        <f t="shared" si="171"/>
        <v>99.534999999999997</v>
      </c>
      <c r="AE205" s="21">
        <f t="shared" si="172"/>
        <v>10.870623999999999</v>
      </c>
      <c r="AF205" s="23">
        <f t="shared" si="173"/>
        <v>0.53529479671454028</v>
      </c>
      <c r="AH205" s="16">
        <f t="shared" si="174"/>
        <v>49.748451419999391</v>
      </c>
      <c r="AI205" s="16">
        <f t="shared" si="175"/>
        <v>1.5950118886042879</v>
      </c>
      <c r="AJ205" s="16">
        <f t="shared" si="176"/>
        <v>15.960323696590574</v>
      </c>
      <c r="AK205" s="16">
        <f t="shared" si="177"/>
        <v>7.9352606818854419</v>
      </c>
      <c r="AL205" s="16">
        <f t="shared" si="178"/>
        <v>3.9594664925045668</v>
      </c>
      <c r="AM205" s="16">
        <f t="shared" si="179"/>
        <v>0.13164205606522916</v>
      </c>
      <c r="AN205" s="16">
        <f t="shared" si="180"/>
        <v>7.1678589286989887</v>
      </c>
      <c r="AO205" s="16">
        <f t="shared" si="181"/>
        <v>10.100721480105722</v>
      </c>
      <c r="AP205" s="16">
        <f t="shared" si="182"/>
        <v>2.745094037329197</v>
      </c>
      <c r="AQ205" s="16">
        <f t="shared" si="183"/>
        <v>0.49391283050830165</v>
      </c>
      <c r="AR205" s="16">
        <f t="shared" si="184"/>
        <v>0.1622564877083057</v>
      </c>
      <c r="AS205" s="16">
        <f t="shared" si="185"/>
        <v>100</v>
      </c>
      <c r="AT205" s="16">
        <f t="shared" si="186"/>
        <v>11.093265845519579</v>
      </c>
      <c r="AV205" s="1" t="s">
        <v>402</v>
      </c>
      <c r="AY205" s="34">
        <v>36.95033572566269</v>
      </c>
      <c r="AZ205" s="34">
        <v>285.24018490742054</v>
      </c>
      <c r="BA205" s="6">
        <v>298</v>
      </c>
      <c r="BB205" s="34">
        <v>253.45935239379568</v>
      </c>
      <c r="BC205" s="6">
        <v>252</v>
      </c>
      <c r="BD205" s="34">
        <v>38.111242177044652</v>
      </c>
      <c r="BE205" s="34"/>
      <c r="BF205" s="34">
        <v>81.785449277405448</v>
      </c>
      <c r="BG205" s="6">
        <v>92</v>
      </c>
      <c r="BH205" s="34">
        <v>85.157327889870302</v>
      </c>
      <c r="BI205" s="6">
        <v>98</v>
      </c>
      <c r="BJ205" s="34">
        <v>79.061579389253112</v>
      </c>
      <c r="BK205" s="6">
        <v>78</v>
      </c>
      <c r="BN205" s="34">
        <v>10.786764304254946</v>
      </c>
      <c r="BO205" s="34"/>
      <c r="BP205" s="34">
        <v>170.87872750397753</v>
      </c>
      <c r="BQ205" s="1">
        <v>170</v>
      </c>
      <c r="BR205" s="34">
        <v>26.654515641542488</v>
      </c>
      <c r="BS205" s="1">
        <v>21</v>
      </c>
      <c r="BT205" s="34">
        <v>87.057718233034279</v>
      </c>
      <c r="BU205" s="1">
        <v>88</v>
      </c>
      <c r="BV205" s="34">
        <v>4.6499442091712408</v>
      </c>
      <c r="BW205" s="34"/>
      <c r="BZ205" s="34">
        <v>0.42972284637815505</v>
      </c>
      <c r="CA205" s="34">
        <v>55.408759055868281</v>
      </c>
      <c r="CB205" s="34">
        <v>7.491679125387094</v>
      </c>
      <c r="CC205" s="34">
        <v>17.740542803118355</v>
      </c>
      <c r="CD205" s="34">
        <v>2.5363544674178615</v>
      </c>
      <c r="CE205" s="34">
        <v>12.479600075858224</v>
      </c>
      <c r="CF205" s="34">
        <v>3.4461709228866098</v>
      </c>
      <c r="CG205" s="34">
        <v>1.1781409515601891</v>
      </c>
      <c r="CH205" s="34">
        <v>3.82</v>
      </c>
      <c r="CI205" s="34">
        <v>0.71455953590530541</v>
      </c>
      <c r="CJ205" s="34">
        <v>4.1951586138347539</v>
      </c>
      <c r="CK205" s="34">
        <v>0.92690256043828789</v>
      </c>
      <c r="CL205" s="34">
        <v>2.5928588255253495</v>
      </c>
      <c r="CM205" s="34">
        <v>0.37231511043594362</v>
      </c>
      <c r="CN205" s="34">
        <v>2.3691132523924754</v>
      </c>
      <c r="CO205" s="34">
        <v>0.38474118165490062</v>
      </c>
      <c r="CP205" s="34">
        <v>2.1555724706478596</v>
      </c>
      <c r="CQ205" s="34">
        <v>0.29030604570007307</v>
      </c>
      <c r="CR205" s="34">
        <v>1.5819673722149503</v>
      </c>
      <c r="CS205" s="34">
        <v>0.76755431335955338</v>
      </c>
      <c r="CT205" s="34">
        <v>0.22385432436069852</v>
      </c>
    </row>
    <row r="206" spans="1:98">
      <c r="A206" s="1" t="s">
        <v>289</v>
      </c>
      <c r="B206" s="1" t="s">
        <v>290</v>
      </c>
      <c r="C206" s="35" t="s">
        <v>383</v>
      </c>
      <c r="D206" s="63">
        <v>67.22</v>
      </c>
      <c r="E206" s="63">
        <v>2.93</v>
      </c>
      <c r="F206" s="1" t="s">
        <v>308</v>
      </c>
      <c r="G206" s="1" t="s">
        <v>161</v>
      </c>
      <c r="I206" s="68">
        <f>1026.8+0.52</f>
        <v>1027.32</v>
      </c>
      <c r="J206" s="1" t="s">
        <v>256</v>
      </c>
      <c r="K206" s="1" t="s">
        <v>52</v>
      </c>
      <c r="L206" s="1" t="s">
        <v>864</v>
      </c>
      <c r="M206" s="78" t="s">
        <v>862</v>
      </c>
      <c r="N206" s="78"/>
      <c r="P206" s="1" t="s">
        <v>399</v>
      </c>
      <c r="Q206" s="1" t="s">
        <v>403</v>
      </c>
      <c r="R206" s="4">
        <v>48.871000000000002</v>
      </c>
      <c r="S206" s="4">
        <v>1.718</v>
      </c>
      <c r="T206" s="4">
        <v>14.36</v>
      </c>
      <c r="U206" s="4">
        <v>5.6840000000000002</v>
      </c>
      <c r="V206" s="4">
        <v>6.13</v>
      </c>
      <c r="W206" s="4">
        <v>0.16200000000000001</v>
      </c>
      <c r="X206" s="4">
        <v>7.2709999999999999</v>
      </c>
      <c r="Y206" s="4">
        <v>11.632999999999999</v>
      </c>
      <c r="Z206" s="4">
        <v>2.5099999999999998</v>
      </c>
      <c r="AA206" s="4">
        <v>0.13500000000000001</v>
      </c>
      <c r="AB206" s="4">
        <v>0.161</v>
      </c>
      <c r="AC206" s="67">
        <v>1.212</v>
      </c>
      <c r="AD206" s="23">
        <f t="shared" si="171"/>
        <v>99.847000000000008</v>
      </c>
      <c r="AE206" s="21">
        <f t="shared" si="172"/>
        <v>11.239916000000001</v>
      </c>
      <c r="AF206" s="23">
        <f t="shared" si="173"/>
        <v>0.53558177564156151</v>
      </c>
      <c r="AH206" s="16">
        <f t="shared" si="174"/>
        <v>49.54732093070411</v>
      </c>
      <c r="AI206" s="16">
        <f t="shared" si="175"/>
        <v>1.7417752319156485</v>
      </c>
      <c r="AJ206" s="16">
        <f t="shared" si="176"/>
        <v>14.558726618340344</v>
      </c>
      <c r="AK206" s="16">
        <f t="shared" si="177"/>
        <v>5.7626603132762195</v>
      </c>
      <c r="AL206" s="16">
        <f t="shared" si="178"/>
        <v>6.2148324631216099</v>
      </c>
      <c r="AM206" s="16">
        <f t="shared" si="179"/>
        <v>0.16424190196177826</v>
      </c>
      <c r="AN206" s="16">
        <f t="shared" si="180"/>
        <v>7.3716226491610479</v>
      </c>
      <c r="AO206" s="16">
        <f t="shared" si="181"/>
        <v>11.793987935317077</v>
      </c>
      <c r="AP206" s="16">
        <f t="shared" si="182"/>
        <v>2.5447356415065641</v>
      </c>
      <c r="AQ206" s="16">
        <f t="shared" si="183"/>
        <v>0.13686825163481522</v>
      </c>
      <c r="AR206" s="16">
        <f t="shared" si="184"/>
        <v>0.16322806306077964</v>
      </c>
      <c r="AS206" s="16">
        <f t="shared" si="185"/>
        <v>99.999999999999986</v>
      </c>
      <c r="AT206" s="16">
        <f t="shared" si="186"/>
        <v>11.395464084756931</v>
      </c>
      <c r="AV206" s="1" t="s">
        <v>402</v>
      </c>
      <c r="AY206" s="34"/>
      <c r="AZ206" s="34"/>
      <c r="BA206" s="6">
        <v>369</v>
      </c>
      <c r="BB206" s="34"/>
      <c r="BC206" s="6">
        <v>150</v>
      </c>
      <c r="BD206" s="34"/>
      <c r="BE206" s="34"/>
      <c r="BF206" s="34"/>
      <c r="BG206" s="6">
        <v>77</v>
      </c>
      <c r="BH206" s="34"/>
      <c r="BI206" s="6">
        <v>54</v>
      </c>
      <c r="BJ206" s="34"/>
      <c r="BK206" s="6">
        <v>97</v>
      </c>
      <c r="BN206" s="34"/>
      <c r="BO206" s="34"/>
      <c r="BP206" s="34"/>
      <c r="BQ206" s="1">
        <v>153</v>
      </c>
      <c r="BR206" s="34"/>
      <c r="BS206" s="1">
        <v>25</v>
      </c>
      <c r="BT206" s="34"/>
      <c r="BU206" s="1">
        <v>231</v>
      </c>
      <c r="BV206" s="34"/>
      <c r="BW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</row>
    <row r="207" spans="1:98">
      <c r="A207" s="1" t="s">
        <v>289</v>
      </c>
      <c r="B207" s="1" t="s">
        <v>290</v>
      </c>
      <c r="C207" s="8" t="s">
        <v>384</v>
      </c>
      <c r="D207" s="63">
        <v>67.22</v>
      </c>
      <c r="E207" s="63">
        <v>2.93</v>
      </c>
      <c r="F207" s="1" t="s">
        <v>308</v>
      </c>
      <c r="G207" s="36" t="s">
        <v>183</v>
      </c>
      <c r="H207" s="36"/>
      <c r="I207" s="68">
        <f>1055.3+0.68</f>
        <v>1055.98</v>
      </c>
      <c r="J207" s="1" t="s">
        <v>256</v>
      </c>
      <c r="K207" s="1" t="s">
        <v>52</v>
      </c>
      <c r="L207" s="1" t="s">
        <v>864</v>
      </c>
      <c r="M207" s="78" t="s">
        <v>862</v>
      </c>
      <c r="N207" s="78"/>
      <c r="P207" s="1" t="s">
        <v>399</v>
      </c>
      <c r="Q207" s="1" t="s">
        <v>403</v>
      </c>
      <c r="R207" s="4">
        <v>48.377000000000002</v>
      </c>
      <c r="S207" s="4">
        <v>1.1850000000000001</v>
      </c>
      <c r="T207" s="4">
        <v>14.832000000000001</v>
      </c>
      <c r="U207" s="4">
        <v>4.226</v>
      </c>
      <c r="V207" s="4">
        <v>6.44</v>
      </c>
      <c r="W207" s="4">
        <v>0.18099999999999999</v>
      </c>
      <c r="X207" s="4">
        <v>8.5760000000000005</v>
      </c>
      <c r="Y207" s="4">
        <v>11.839</v>
      </c>
      <c r="Z207" s="4">
        <v>2</v>
      </c>
      <c r="AA207" s="4">
        <v>0.11899999999999999</v>
      </c>
      <c r="AB207" s="4">
        <v>0.11600000000000001</v>
      </c>
      <c r="AC207" s="67">
        <v>1.907</v>
      </c>
      <c r="AD207" s="23">
        <f t="shared" si="171"/>
        <v>99.798000000000002</v>
      </c>
      <c r="AE207" s="21">
        <f t="shared" si="172"/>
        <v>10.239174</v>
      </c>
      <c r="AF207" s="23">
        <f t="shared" si="173"/>
        <v>0.59890202223630551</v>
      </c>
      <c r="AH207" s="16">
        <f t="shared" si="174"/>
        <v>49.419252025211712</v>
      </c>
      <c r="AI207" s="16">
        <f t="shared" si="175"/>
        <v>1.2105300793739975</v>
      </c>
      <c r="AJ207" s="16">
        <f t="shared" si="176"/>
        <v>15.151546107405174</v>
      </c>
      <c r="AK207" s="16">
        <f t="shared" si="177"/>
        <v>4.3170465109152012</v>
      </c>
      <c r="AL207" s="16">
        <f t="shared" si="178"/>
        <v>6.5787457478215563</v>
      </c>
      <c r="AM207" s="16">
        <f t="shared" si="179"/>
        <v>0.18489953111113377</v>
      </c>
      <c r="AN207" s="16">
        <f t="shared" si="180"/>
        <v>8.7607645238070919</v>
      </c>
      <c r="AO207" s="16">
        <f t="shared" si="181"/>
        <v>12.094063805661399</v>
      </c>
      <c r="AP207" s="16">
        <f t="shared" si="182"/>
        <v>2.0430887415594894</v>
      </c>
      <c r="AQ207" s="16">
        <f t="shared" si="183"/>
        <v>0.12156378012278961</v>
      </c>
      <c r="AR207" s="16">
        <f t="shared" si="184"/>
        <v>0.1184991470104504</v>
      </c>
      <c r="AS207" s="16">
        <f t="shared" si="185"/>
        <v>99.999999999999986</v>
      </c>
      <c r="AT207" s="16">
        <f t="shared" si="186"/>
        <v>10.459770561134322</v>
      </c>
      <c r="AV207" s="1" t="s">
        <v>402</v>
      </c>
      <c r="AY207" s="34">
        <v>39.745789887914562</v>
      </c>
      <c r="AZ207" s="34">
        <v>282.96931736335978</v>
      </c>
      <c r="BA207" s="6">
        <v>287</v>
      </c>
      <c r="BB207" s="34">
        <v>305.75580995712835</v>
      </c>
      <c r="BC207" s="6">
        <v>314</v>
      </c>
      <c r="BD207" s="34">
        <v>44.279263114057187</v>
      </c>
      <c r="BE207" s="34"/>
      <c r="BF207" s="34">
        <v>96.213338510160796</v>
      </c>
      <c r="BG207" s="6">
        <v>112</v>
      </c>
      <c r="BH207" s="34">
        <v>119.30705123389707</v>
      </c>
      <c r="BI207" s="6">
        <v>127</v>
      </c>
      <c r="BJ207" s="34">
        <v>73.937693912358057</v>
      </c>
      <c r="BK207" s="6">
        <v>73</v>
      </c>
      <c r="BN207" s="34">
        <v>0.55574874698208632</v>
      </c>
      <c r="BO207" s="34"/>
      <c r="BP207" s="34">
        <v>121.16980094513427</v>
      </c>
      <c r="BQ207" s="1">
        <v>125</v>
      </c>
      <c r="BR207" s="34">
        <v>22.63918823152656</v>
      </c>
      <c r="BS207" s="1">
        <v>21</v>
      </c>
      <c r="BT207" s="34">
        <v>61.158960415599331</v>
      </c>
      <c r="BU207" s="1">
        <v>67</v>
      </c>
      <c r="BV207" s="34">
        <v>3.1572959692187719</v>
      </c>
      <c r="BW207" s="34"/>
      <c r="BZ207" s="34">
        <v>0.14581520737032674</v>
      </c>
      <c r="CA207" s="34">
        <v>26.109535544329827</v>
      </c>
      <c r="CB207" s="34">
        <v>3.4093029132096184</v>
      </c>
      <c r="CC207" s="34">
        <v>9.034494019820114</v>
      </c>
      <c r="CD207" s="34">
        <v>1.4317009328484402</v>
      </c>
      <c r="CE207" s="34">
        <v>7.7688262401204247</v>
      </c>
      <c r="CF207" s="34">
        <v>2.4362325459103862</v>
      </c>
      <c r="CG207" s="34">
        <v>0.92053807774253826</v>
      </c>
      <c r="CH207" s="34">
        <v>2.97</v>
      </c>
      <c r="CI207" s="34">
        <v>0.56261662320081174</v>
      </c>
      <c r="CJ207" s="34">
        <v>3.574579570872956</v>
      </c>
      <c r="CK207" s="34">
        <v>0.80333450639200088</v>
      </c>
      <c r="CL207" s="34">
        <v>2.269269762152442</v>
      </c>
      <c r="CM207" s="34">
        <v>0.30702127414625408</v>
      </c>
      <c r="CN207" s="34">
        <v>2.1116803488330449</v>
      </c>
      <c r="CO207" s="34">
        <v>0.31741465583698714</v>
      </c>
      <c r="CP207" s="34">
        <v>1.5937314222611896</v>
      </c>
      <c r="CQ207" s="34">
        <v>0.18007137033850426</v>
      </c>
      <c r="CR207" s="34">
        <v>0.5317126752213871</v>
      </c>
      <c r="CS207" s="34">
        <v>0.22680950618361229</v>
      </c>
      <c r="CT207" s="34">
        <v>6.9101165533224373E-2</v>
      </c>
    </row>
    <row r="208" spans="1:98">
      <c r="A208" s="1" t="s">
        <v>289</v>
      </c>
      <c r="B208" s="1" t="s">
        <v>290</v>
      </c>
      <c r="C208" s="8" t="s">
        <v>385</v>
      </c>
      <c r="D208" s="63">
        <v>67.22</v>
      </c>
      <c r="E208" s="63">
        <v>2.93</v>
      </c>
      <c r="F208" s="1" t="s">
        <v>308</v>
      </c>
      <c r="G208" s="36" t="s">
        <v>219</v>
      </c>
      <c r="H208" s="36"/>
      <c r="I208" s="68">
        <f>1063.3+0.46</f>
        <v>1063.76</v>
      </c>
      <c r="J208" s="1" t="s">
        <v>256</v>
      </c>
      <c r="K208" s="1" t="s">
        <v>52</v>
      </c>
      <c r="L208" s="1" t="s">
        <v>864</v>
      </c>
      <c r="M208" s="78" t="s">
        <v>862</v>
      </c>
      <c r="N208" s="78"/>
      <c r="P208" s="1" t="s">
        <v>399</v>
      </c>
      <c r="Q208" s="1" t="s">
        <v>403</v>
      </c>
      <c r="R208" s="4">
        <v>49.542999999999999</v>
      </c>
      <c r="S208" s="4">
        <v>1.282</v>
      </c>
      <c r="T208" s="4">
        <v>15.455</v>
      </c>
      <c r="U208" s="4">
        <v>7.7309999999999999</v>
      </c>
      <c r="V208" s="4">
        <v>3.05</v>
      </c>
      <c r="W208" s="4">
        <v>0.13800000000000001</v>
      </c>
      <c r="X208" s="4">
        <v>7.4889999999999999</v>
      </c>
      <c r="Y208" s="4">
        <v>9.4979999999999993</v>
      </c>
      <c r="Z208" s="4">
        <v>2.3199999999999998</v>
      </c>
      <c r="AA208" s="4">
        <v>1.175</v>
      </c>
      <c r="AB208" s="4">
        <v>0.16900000000000001</v>
      </c>
      <c r="AC208" s="67">
        <v>1.9690000000000001</v>
      </c>
      <c r="AD208" s="23">
        <f t="shared" ref="AD208:AD209" si="188">SUM(R208:AB208)+AC208</f>
        <v>99.818999999999988</v>
      </c>
      <c r="AE208" s="21">
        <f t="shared" si="172"/>
        <v>10.000169</v>
      </c>
      <c r="AF208" s="23">
        <f t="shared" ref="AF208:AF209" si="189">(X208/40.3)/((X208/40.3)+(AE208/71.844))</f>
        <v>0.57174613659832774</v>
      </c>
      <c r="AH208" s="16">
        <f t="shared" si="174"/>
        <v>50.631578947368425</v>
      </c>
      <c r="AI208" s="16">
        <f t="shared" si="175"/>
        <v>1.310168625447113</v>
      </c>
      <c r="AJ208" s="16">
        <f t="shared" si="176"/>
        <v>15.794583546244253</v>
      </c>
      <c r="AK208" s="16">
        <f t="shared" si="177"/>
        <v>7.9008686765457341</v>
      </c>
      <c r="AL208" s="16">
        <f t="shared" si="178"/>
        <v>3.1170158405723045</v>
      </c>
      <c r="AM208" s="16">
        <f t="shared" si="179"/>
        <v>0.14103219213081247</v>
      </c>
      <c r="AN208" s="16">
        <f t="shared" si="180"/>
        <v>7.6535513541134392</v>
      </c>
      <c r="AO208" s="16">
        <f t="shared" si="181"/>
        <v>9.7066939192641808</v>
      </c>
      <c r="AP208" s="16">
        <f t="shared" si="182"/>
        <v>2.3709759836484414</v>
      </c>
      <c r="AQ208" s="16">
        <f t="shared" si="183"/>
        <v>1.200817577925396</v>
      </c>
      <c r="AR208" s="16">
        <f t="shared" si="184"/>
        <v>0.17271333673990805</v>
      </c>
      <c r="AS208" s="16">
        <f t="shared" ref="AS208:AS209" si="190">SUM(AH208:AR208)</f>
        <v>99.999999999999986</v>
      </c>
      <c r="AT208" s="16">
        <f t="shared" si="186"/>
        <v>10.21989678078692</v>
      </c>
      <c r="AV208" s="1" t="s">
        <v>402</v>
      </c>
      <c r="AY208" s="34">
        <v>43.100817396655884</v>
      </c>
      <c r="AZ208" s="34">
        <v>303.31372908020126</v>
      </c>
      <c r="BA208" s="6">
        <v>305</v>
      </c>
      <c r="BB208" s="34"/>
      <c r="BC208" s="6">
        <v>229</v>
      </c>
      <c r="BD208" s="34">
        <v>32.009067294538788</v>
      </c>
      <c r="BE208" s="34"/>
      <c r="BF208" s="34">
        <v>59.849972455536829</v>
      </c>
      <c r="BG208" s="6">
        <v>76</v>
      </c>
      <c r="BH208" s="34">
        <v>32.015953445334056</v>
      </c>
      <c r="BI208" s="6">
        <v>37</v>
      </c>
      <c r="BJ208" s="34">
        <v>93.389597218403722</v>
      </c>
      <c r="BK208" s="6">
        <v>92</v>
      </c>
      <c r="BN208" s="34">
        <v>32.546387376945013</v>
      </c>
      <c r="BO208" s="34"/>
      <c r="BP208" s="34">
        <v>128.07624129396063</v>
      </c>
      <c r="BQ208" s="1">
        <v>131</v>
      </c>
      <c r="BR208" s="34">
        <v>34.984059350339059</v>
      </c>
      <c r="BS208" s="1">
        <v>25</v>
      </c>
      <c r="BT208" s="34">
        <v>76.983803970157126</v>
      </c>
      <c r="BU208" s="1">
        <v>80</v>
      </c>
      <c r="BV208" s="34">
        <v>4.076065391857246</v>
      </c>
      <c r="BW208" s="34"/>
      <c r="BZ208" s="34">
        <v>0.90763220427709668</v>
      </c>
      <c r="CA208" s="34">
        <v>20.484180988547308</v>
      </c>
      <c r="CB208" s="34">
        <v>5.2087004836082613</v>
      </c>
      <c r="CC208" s="34">
        <v>13.038186634507092</v>
      </c>
      <c r="CD208" s="34"/>
      <c r="CE208" s="34"/>
      <c r="CF208" s="34"/>
      <c r="CG208" s="34"/>
      <c r="CH208" s="34"/>
      <c r="CI208" s="34"/>
      <c r="CJ208" s="34">
        <v>4.8500792452939043</v>
      </c>
      <c r="CK208" s="34">
        <v>1.1054692602785468</v>
      </c>
      <c r="CL208" s="34"/>
      <c r="CM208" s="34">
        <v>0.44830386839925224</v>
      </c>
      <c r="CN208" s="34"/>
      <c r="CO208" s="34"/>
      <c r="CP208" s="34">
        <v>2.0462565928825347</v>
      </c>
      <c r="CQ208" s="34">
        <v>0.23147631693297113</v>
      </c>
      <c r="CR208" s="34">
        <v>0.96582332317163588</v>
      </c>
      <c r="CS208" s="34">
        <v>0.47552546719481992</v>
      </c>
      <c r="CT208" s="34">
        <v>0.16944845057372029</v>
      </c>
    </row>
    <row r="209" spans="1:98">
      <c r="A209" s="1" t="s">
        <v>289</v>
      </c>
      <c r="B209" s="1" t="s">
        <v>290</v>
      </c>
      <c r="C209" s="8" t="s">
        <v>386</v>
      </c>
      <c r="D209" s="63">
        <v>67.22</v>
      </c>
      <c r="E209" s="63">
        <v>2.93</v>
      </c>
      <c r="F209" s="1" t="s">
        <v>308</v>
      </c>
      <c r="G209" s="36" t="s">
        <v>201</v>
      </c>
      <c r="H209" s="36"/>
      <c r="I209" s="68">
        <f>1080.22+0.48</f>
        <v>1080.7</v>
      </c>
      <c r="J209" s="1" t="s">
        <v>256</v>
      </c>
      <c r="K209" s="1" t="s">
        <v>52</v>
      </c>
      <c r="L209" s="1" t="s">
        <v>864</v>
      </c>
      <c r="M209" s="78" t="s">
        <v>862</v>
      </c>
      <c r="N209" s="78"/>
      <c r="P209" s="1" t="s">
        <v>399</v>
      </c>
      <c r="Q209" s="1" t="s">
        <v>403</v>
      </c>
      <c r="R209" s="4">
        <v>48.094999999999999</v>
      </c>
      <c r="S209" s="4">
        <v>1.1379999999999999</v>
      </c>
      <c r="T209" s="4">
        <v>15.14</v>
      </c>
      <c r="U209" s="4">
        <v>3.2360000000000002</v>
      </c>
      <c r="V209" s="4">
        <v>6.33</v>
      </c>
      <c r="W209" s="4">
        <v>0.19400000000000001</v>
      </c>
      <c r="X209" s="4">
        <v>8.7620000000000005</v>
      </c>
      <c r="Y209" s="4">
        <v>11.802</v>
      </c>
      <c r="Z209" s="4">
        <v>2.12</v>
      </c>
      <c r="AA209" s="4">
        <v>0.193</v>
      </c>
      <c r="AB209" s="4">
        <v>0.106</v>
      </c>
      <c r="AC209" s="67">
        <v>2.1749999999999998</v>
      </c>
      <c r="AD209" s="23">
        <f t="shared" si="188"/>
        <v>99.290999999999997</v>
      </c>
      <c r="AE209" s="21">
        <f t="shared" si="172"/>
        <v>9.2391640000000006</v>
      </c>
      <c r="AF209" s="23">
        <f t="shared" si="189"/>
        <v>0.62834384233738305</v>
      </c>
      <c r="AH209" s="16">
        <f t="shared" si="174"/>
        <v>49.523250545739117</v>
      </c>
      <c r="AI209" s="16">
        <f t="shared" si="175"/>
        <v>1.171794554965196</v>
      </c>
      <c r="AJ209" s="16">
        <f t="shared" si="176"/>
        <v>15.589604184686355</v>
      </c>
      <c r="AK209" s="16">
        <f t="shared" si="177"/>
        <v>3.3320976975987482</v>
      </c>
      <c r="AL209" s="16">
        <f t="shared" si="178"/>
        <v>6.5179784999382182</v>
      </c>
      <c r="AM209" s="16">
        <f t="shared" si="179"/>
        <v>0.19976111042464684</v>
      </c>
      <c r="AN209" s="16">
        <f t="shared" si="180"/>
        <v>9.0222002553647194</v>
      </c>
      <c r="AO209" s="16">
        <f t="shared" si="181"/>
        <v>12.152477449647844</v>
      </c>
      <c r="AP209" s="16">
        <f t="shared" si="182"/>
        <v>2.1829564644342847</v>
      </c>
      <c r="AQ209" s="16">
        <f t="shared" si="183"/>
        <v>0.19873141397915894</v>
      </c>
      <c r="AR209" s="16">
        <f t="shared" si="184"/>
        <v>0.10914782322171424</v>
      </c>
      <c r="AS209" s="16">
        <f t="shared" si="190"/>
        <v>100.00000000000003</v>
      </c>
      <c r="AT209" s="16">
        <f t="shared" si="186"/>
        <v>9.5135343300794926</v>
      </c>
      <c r="AV209" s="1" t="s">
        <v>402</v>
      </c>
      <c r="AY209" s="34">
        <v>45.312927455219928</v>
      </c>
      <c r="AZ209" s="34">
        <v>279.97885149342716</v>
      </c>
      <c r="BA209" s="6">
        <v>271</v>
      </c>
      <c r="BB209" s="34">
        <v>372.12720090684365</v>
      </c>
      <c r="BC209" s="6">
        <v>360</v>
      </c>
      <c r="BD209" s="34">
        <v>44.112593341573898</v>
      </c>
      <c r="BE209" s="34"/>
      <c r="BF209" s="34">
        <v>132.91363212390561</v>
      </c>
      <c r="BG209" s="6">
        <v>142</v>
      </c>
      <c r="BH209" s="34">
        <v>98.607752645332326</v>
      </c>
      <c r="BI209" s="6">
        <v>105</v>
      </c>
      <c r="BJ209" s="34">
        <v>71.14554991025652</v>
      </c>
      <c r="BK209" s="6">
        <v>67</v>
      </c>
      <c r="BN209" s="34">
        <v>3.835923975565779</v>
      </c>
      <c r="BO209" s="34"/>
      <c r="BP209" s="34">
        <v>211.29381211641794</v>
      </c>
      <c r="BQ209" s="1">
        <v>198</v>
      </c>
      <c r="BR209" s="34">
        <v>23.081250117873299</v>
      </c>
      <c r="BS209" s="1">
        <v>16</v>
      </c>
      <c r="BT209" s="34">
        <v>64.60344953648827</v>
      </c>
      <c r="BU209" s="1">
        <v>57</v>
      </c>
      <c r="BV209" s="34">
        <v>3.0885097462621274</v>
      </c>
      <c r="BW209" s="34"/>
      <c r="BZ209" s="34">
        <v>0.38462468428382285</v>
      </c>
      <c r="CA209" s="34">
        <v>278.94995294222809</v>
      </c>
      <c r="CB209" s="34">
        <v>3.4467450441981966</v>
      </c>
      <c r="CC209" s="34">
        <v>9.1639699197055364</v>
      </c>
      <c r="CD209" s="34">
        <v>1.4282058668384268</v>
      </c>
      <c r="CE209" s="34">
        <v>7.5860663570385114</v>
      </c>
      <c r="CF209" s="34">
        <v>2.5614229700566682</v>
      </c>
      <c r="CG209" s="34">
        <v>0.94282129822446092</v>
      </c>
      <c r="CH209" s="34">
        <v>3.08</v>
      </c>
      <c r="CI209" s="34">
        <v>0.57837605139357573</v>
      </c>
      <c r="CJ209" s="34">
        <v>3.5429345096965896</v>
      </c>
      <c r="CK209" s="34">
        <v>0.80394894961490293</v>
      </c>
      <c r="CL209" s="34">
        <v>2.3255145635634307</v>
      </c>
      <c r="CM209" s="34">
        <v>0.33397211128448712</v>
      </c>
      <c r="CN209" s="34">
        <v>2.1480543914280568</v>
      </c>
      <c r="CO209" s="34">
        <v>0.32323924467551962</v>
      </c>
      <c r="CP209" s="34">
        <v>1.6690329169799105</v>
      </c>
      <c r="CQ209" s="34">
        <v>0.17508575476103375</v>
      </c>
      <c r="CR209" s="34">
        <v>0.62985523012829325</v>
      </c>
      <c r="CS209" s="34">
        <v>0.24581873263389928</v>
      </c>
      <c r="CT209" s="34">
        <v>9.196569738055986E-2</v>
      </c>
    </row>
    <row r="210" spans="1:98">
      <c r="A210" s="56" t="s">
        <v>660</v>
      </c>
      <c r="C210" s="8"/>
      <c r="G210" s="36"/>
      <c r="H210" s="36"/>
      <c r="L210" s="13"/>
      <c r="M210" s="13"/>
      <c r="N210" s="13"/>
      <c r="AC210" s="67"/>
      <c r="AD210" s="23"/>
      <c r="AF210" s="23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Y210" s="34"/>
      <c r="AZ210" s="34"/>
      <c r="BA210" s="6"/>
      <c r="BB210" s="34"/>
      <c r="BC210" s="6"/>
      <c r="BD210" s="34"/>
      <c r="BE210" s="34"/>
      <c r="BF210" s="34"/>
      <c r="BG210" s="6"/>
      <c r="BH210" s="34"/>
      <c r="BI210" s="6"/>
      <c r="BJ210" s="34"/>
      <c r="BK210" s="6"/>
      <c r="BN210" s="34"/>
      <c r="BO210" s="34"/>
      <c r="BP210" s="34"/>
      <c r="BQ210" s="1"/>
      <c r="BR210" s="34"/>
      <c r="BS210" s="1"/>
      <c r="BT210" s="34"/>
      <c r="BU210" s="1"/>
      <c r="BV210" s="34"/>
      <c r="BW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</row>
    <row r="211" spans="1:98">
      <c r="A211" s="1" t="s">
        <v>289</v>
      </c>
      <c r="B211" s="1" t="s">
        <v>290</v>
      </c>
      <c r="C211" s="8" t="s">
        <v>387</v>
      </c>
      <c r="D211" s="63">
        <v>67.22</v>
      </c>
      <c r="E211" s="63">
        <v>2.93</v>
      </c>
      <c r="F211" s="1" t="s">
        <v>309</v>
      </c>
      <c r="G211" s="1" t="s">
        <v>305</v>
      </c>
      <c r="I211" s="68">
        <f>1110.4+0.05</f>
        <v>1110.45</v>
      </c>
      <c r="J211" s="1" t="s">
        <v>256</v>
      </c>
      <c r="K211" s="1" t="s">
        <v>316</v>
      </c>
      <c r="L211" s="1" t="s">
        <v>864</v>
      </c>
      <c r="M211" s="78" t="s">
        <v>862</v>
      </c>
      <c r="N211" s="78"/>
      <c r="P211" s="1" t="s">
        <v>399</v>
      </c>
      <c r="AC211" s="67"/>
      <c r="AV211" s="1" t="s">
        <v>402</v>
      </c>
      <c r="AY211" s="34">
        <v>24.65055619613679</v>
      </c>
      <c r="AZ211" s="34">
        <v>113.70273033721719</v>
      </c>
      <c r="BA211" s="6"/>
      <c r="BB211" s="34">
        <v>47.643384517489068</v>
      </c>
      <c r="BC211" s="6"/>
      <c r="BD211" s="34">
        <v>12.748458351282887</v>
      </c>
      <c r="BE211" s="34"/>
      <c r="BF211" s="34">
        <v>5.5623728238178352</v>
      </c>
      <c r="BG211" s="6"/>
      <c r="BH211" s="34">
        <v>8.992410026107061</v>
      </c>
      <c r="BI211" s="6"/>
      <c r="BJ211" s="34">
        <v>109.58474010700142</v>
      </c>
      <c r="BK211" s="6"/>
      <c r="BN211" s="34">
        <v>81.191661389523134</v>
      </c>
      <c r="BO211" s="34"/>
      <c r="BP211" s="34">
        <v>149.94993470704637</v>
      </c>
      <c r="BQ211" s="1"/>
      <c r="BR211" s="34">
        <v>48.919773622022156</v>
      </c>
      <c r="BS211" s="1"/>
      <c r="BT211" s="34">
        <v>348.73575160904403</v>
      </c>
      <c r="BU211" s="1"/>
      <c r="BV211" s="34">
        <v>20.961989745168989</v>
      </c>
      <c r="BW211" s="34"/>
      <c r="BZ211" s="34">
        <v>6.4176844649023463</v>
      </c>
      <c r="CA211" s="34">
        <v>512.50376697610898</v>
      </c>
      <c r="CB211" s="34">
        <v>40.500512672931386</v>
      </c>
      <c r="CC211" s="34">
        <v>89.074867712744506</v>
      </c>
      <c r="CD211" s="34">
        <v>9.5013354056924388</v>
      </c>
      <c r="CE211" s="34">
        <v>37.157019088738053</v>
      </c>
      <c r="CF211" s="34">
        <v>8.1485900810488214</v>
      </c>
      <c r="CG211" s="34">
        <v>1.2573021787042833</v>
      </c>
      <c r="CH211" s="34">
        <v>7.76</v>
      </c>
      <c r="CI211" s="34">
        <v>1.2974818641905399</v>
      </c>
      <c r="CJ211" s="34">
        <v>7.6412101068169322</v>
      </c>
      <c r="CK211" s="34">
        <v>1.6496641710743869</v>
      </c>
      <c r="CL211" s="34">
        <v>4.7700968144291132</v>
      </c>
      <c r="CM211" s="34">
        <v>0.69738983112866937</v>
      </c>
      <c r="CN211" s="34">
        <v>4.5803564758468562</v>
      </c>
      <c r="CO211" s="34">
        <v>0.73605725877295658</v>
      </c>
      <c r="CP211" s="34">
        <v>6.8244174128328616</v>
      </c>
      <c r="CQ211" s="34">
        <v>1.3343964230581802</v>
      </c>
      <c r="CR211" s="34">
        <v>20.149340176024847</v>
      </c>
      <c r="CS211" s="34">
        <v>13.383730625198476</v>
      </c>
      <c r="CT211" s="34">
        <v>2.9732016918206927</v>
      </c>
    </row>
    <row r="212" spans="1:98">
      <c r="A212" s="1" t="s">
        <v>289</v>
      </c>
      <c r="B212" s="1" t="s">
        <v>290</v>
      </c>
      <c r="C212" s="8" t="s">
        <v>388</v>
      </c>
      <c r="D212" s="63">
        <v>67.22</v>
      </c>
      <c r="E212" s="63">
        <v>2.93</v>
      </c>
      <c r="F212" s="1" t="s">
        <v>309</v>
      </c>
      <c r="G212" s="36" t="s">
        <v>306</v>
      </c>
      <c r="H212" s="36"/>
      <c r="I212" s="68">
        <f>1117.27+0.66</f>
        <v>1117.93</v>
      </c>
      <c r="J212" s="1" t="s">
        <v>256</v>
      </c>
      <c r="K212" s="1" t="s">
        <v>316</v>
      </c>
      <c r="L212" s="1" t="s">
        <v>864</v>
      </c>
      <c r="M212" s="78" t="s">
        <v>862</v>
      </c>
      <c r="N212" s="78"/>
      <c r="P212" s="1" t="s">
        <v>399</v>
      </c>
      <c r="AC212" s="67"/>
      <c r="AV212" s="1" t="s">
        <v>402</v>
      </c>
      <c r="AY212" s="34">
        <v>27.473100075616681</v>
      </c>
      <c r="AZ212" s="34">
        <v>113.45148221277208</v>
      </c>
      <c r="BA212" s="6"/>
      <c r="BB212" s="34">
        <v>50.030387054118542</v>
      </c>
      <c r="BC212" s="6"/>
      <c r="BD212" s="34">
        <v>10.43644073084174</v>
      </c>
      <c r="BE212" s="34"/>
      <c r="BF212" s="34">
        <v>6.5619455429032287</v>
      </c>
      <c r="BG212" s="6"/>
      <c r="BH212" s="34">
        <v>8.8872726933361523</v>
      </c>
      <c r="BI212" s="6"/>
      <c r="BJ212" s="34">
        <v>110.37357340358101</v>
      </c>
      <c r="BK212" s="6"/>
      <c r="BN212" s="34">
        <v>80.640984534928819</v>
      </c>
      <c r="BO212" s="34"/>
      <c r="BP212" s="34">
        <v>150.3076859609267</v>
      </c>
      <c r="BQ212" s="1"/>
      <c r="BR212" s="34">
        <v>47.816264752508296</v>
      </c>
      <c r="BS212" s="1"/>
      <c r="BT212" s="34">
        <v>346.06764531097741</v>
      </c>
      <c r="BU212" s="1"/>
      <c r="BV212" s="34">
        <v>20.962554576456238</v>
      </c>
      <c r="BW212" s="34"/>
      <c r="BZ212" s="34">
        <v>6.5218155878042019</v>
      </c>
      <c r="CA212" s="34">
        <v>509.80427985735497</v>
      </c>
      <c r="CB212" s="34">
        <v>41.547751423776333</v>
      </c>
      <c r="CC212" s="34">
        <v>91.698901288609321</v>
      </c>
      <c r="CD212" s="34">
        <v>9.7676001088166853</v>
      </c>
      <c r="CE212" s="34">
        <v>37.935940557216576</v>
      </c>
      <c r="CF212" s="34">
        <v>8.1253200657744866</v>
      </c>
      <c r="CG212" s="34">
        <v>1.2448674320877915</v>
      </c>
      <c r="CH212" s="34">
        <v>7.7</v>
      </c>
      <c r="CI212" s="34">
        <v>1.2989538523439907</v>
      </c>
      <c r="CJ212" s="34">
        <v>7.4464214377117841</v>
      </c>
      <c r="CK212" s="34">
        <v>1.6256639581329575</v>
      </c>
      <c r="CL212" s="34">
        <v>4.5758351290431181</v>
      </c>
      <c r="CM212" s="34">
        <v>0.67084172545642551</v>
      </c>
      <c r="CN212" s="34">
        <v>4.3639536323535202</v>
      </c>
      <c r="CO212" s="34">
        <v>0.70432265948799666</v>
      </c>
      <c r="CP212" s="34">
        <v>6.6358204219540964</v>
      </c>
      <c r="CQ212" s="34">
        <v>1.3107488021632852</v>
      </c>
      <c r="CR212" s="34">
        <v>20.730960704275578</v>
      </c>
      <c r="CS212" s="34">
        <v>13.122494459475723</v>
      </c>
      <c r="CT212" s="34">
        <v>2.9717874869168077</v>
      </c>
    </row>
    <row r="213" spans="1:98">
      <c r="A213" s="1" t="s">
        <v>289</v>
      </c>
      <c r="B213" s="1" t="s">
        <v>290</v>
      </c>
      <c r="C213" s="8" t="s">
        <v>389</v>
      </c>
      <c r="D213" s="63">
        <v>67.22</v>
      </c>
      <c r="E213" s="63">
        <v>2.93</v>
      </c>
      <c r="F213" s="1" t="s">
        <v>309</v>
      </c>
      <c r="G213" s="36" t="s">
        <v>304</v>
      </c>
      <c r="H213" s="36"/>
      <c r="I213" s="68">
        <f>1126.7+0.44</f>
        <v>1127.1400000000001</v>
      </c>
      <c r="J213" s="1" t="s">
        <v>256</v>
      </c>
      <c r="K213" s="1" t="s">
        <v>284</v>
      </c>
      <c r="L213" s="1" t="s">
        <v>864</v>
      </c>
      <c r="M213" s="78" t="s">
        <v>862</v>
      </c>
      <c r="N213" s="78"/>
      <c r="P213" s="1" t="s">
        <v>399</v>
      </c>
      <c r="Q213" s="1" t="s">
        <v>403</v>
      </c>
      <c r="R213" s="4">
        <v>63.182000000000002</v>
      </c>
      <c r="S213" s="4">
        <v>1.351</v>
      </c>
      <c r="T213" s="4">
        <v>16.634</v>
      </c>
      <c r="U213" s="4">
        <v>2.1309999999999998</v>
      </c>
      <c r="V213" s="4">
        <v>2.8</v>
      </c>
      <c r="W213" s="4">
        <v>7.4999999999999997E-2</v>
      </c>
      <c r="X213" s="4">
        <v>0.56399999999999995</v>
      </c>
      <c r="Y213" s="4">
        <v>4.8789999999999996</v>
      </c>
      <c r="Z213" s="4">
        <v>2.34</v>
      </c>
      <c r="AA213" s="4">
        <v>1.7230000000000001</v>
      </c>
      <c r="AB213" s="4">
        <v>0.53100000000000003</v>
      </c>
      <c r="AC213" s="67">
        <v>2.9119999999999999</v>
      </c>
      <c r="AD213" s="23">
        <f t="shared" ref="AD213:AD223" si="191">SUM(R213:AB213)+AC213</f>
        <v>99.122000000000014</v>
      </c>
      <c r="AE213" s="21">
        <f t="shared" ref="AE213:AE223" si="192">V213+0.899*U213</f>
        <v>4.7157689999999999</v>
      </c>
      <c r="AF213" s="23">
        <f t="shared" ref="AF213:AF223" si="193">(X213/40.3)/((X213/40.3)+(AE213/71.844))</f>
        <v>0.175741881688845</v>
      </c>
      <c r="AH213" s="16">
        <f t="shared" ref="AH213:AH223" si="194">100*R213/SUM($R213:$AB213)</f>
        <v>65.670928177944077</v>
      </c>
      <c r="AI213" s="16">
        <f t="shared" ref="AI213:AI223" si="195">100*S213/SUM($R213:$AB213)</f>
        <v>1.4042199355576341</v>
      </c>
      <c r="AJ213" s="16">
        <f t="shared" ref="AJ213:AJ223" si="196">100*T213/SUM($R213:$AB213)</f>
        <v>17.289263070366907</v>
      </c>
      <c r="AK213" s="16">
        <f t="shared" ref="AK213:AK223" si="197">100*U213/SUM($R213:$AB213)</f>
        <v>2.2149464712607831</v>
      </c>
      <c r="AL213" s="16">
        <f t="shared" ref="AL213:AL223" si="198">100*V213/SUM($R213:$AB213)</f>
        <v>2.9103003845754079</v>
      </c>
      <c r="AM213" s="16">
        <f t="shared" ref="AM213:AM223" si="199">100*W213/SUM($R213:$AB213)</f>
        <v>7.795447458684128E-2</v>
      </c>
      <c r="AN213" s="16">
        <f t="shared" ref="AN213:AN223" si="200">100*X213/SUM($R213:$AB213)</f>
        <v>0.58621764889304628</v>
      </c>
      <c r="AO213" s="16">
        <f t="shared" ref="AO213:AO223" si="201">100*Y213/SUM($R213:$AB213)</f>
        <v>5.0711984201226477</v>
      </c>
      <c r="AP213" s="16">
        <f t="shared" ref="AP213:AP223" si="202">100*Z213/SUM($R213:$AB213)</f>
        <v>2.4321796071094477</v>
      </c>
      <c r="AQ213" s="16">
        <f t="shared" ref="AQ213:AQ223" si="203">100*AA213/SUM($R213:$AB213)</f>
        <v>1.790874129508367</v>
      </c>
      <c r="AR213" s="16">
        <f t="shared" ref="AR213:AR223" si="204">100*AB213/SUM($R213:$AB213)</f>
        <v>0.55191768007483621</v>
      </c>
      <c r="AS213" s="16">
        <f t="shared" ref="AS213:AS223" si="205">SUM(AH213:AR213)</f>
        <v>99.999999999999986</v>
      </c>
      <c r="AT213" s="16">
        <f t="shared" ref="AT213:AT223" si="206">AL213+0.899*AK213</f>
        <v>4.9015372622388522</v>
      </c>
      <c r="AV213" s="1" t="s">
        <v>402</v>
      </c>
      <c r="AY213" s="34">
        <v>25.398283102447252</v>
      </c>
      <c r="AZ213" s="34">
        <v>85.678688249180979</v>
      </c>
      <c r="BA213" s="6">
        <v>127</v>
      </c>
      <c r="BB213" s="34">
        <v>45.634128189920951</v>
      </c>
      <c r="BC213" s="6">
        <v>55</v>
      </c>
      <c r="BD213" s="34">
        <v>26.68994156314449</v>
      </c>
      <c r="BE213" s="34"/>
      <c r="BF213" s="34">
        <v>20.045819109997051</v>
      </c>
      <c r="BG213" s="6">
        <v>25</v>
      </c>
      <c r="BH213" s="34">
        <v>13.033641426457246</v>
      </c>
      <c r="BI213" s="6">
        <v>16</v>
      </c>
      <c r="BJ213" s="34">
        <v>168.23040581952171</v>
      </c>
      <c r="BK213" s="6">
        <v>167</v>
      </c>
      <c r="BN213" s="34">
        <v>21.265314452566948</v>
      </c>
      <c r="BO213" s="34"/>
      <c r="BP213" s="34">
        <v>199.93256874178897</v>
      </c>
      <c r="BQ213" s="1">
        <v>196</v>
      </c>
      <c r="BR213" s="34">
        <v>90.421325477713779</v>
      </c>
      <c r="BS213" s="1">
        <v>35</v>
      </c>
      <c r="BT213" s="34">
        <v>375.84879304995803</v>
      </c>
      <c r="BU213" s="1">
        <v>241</v>
      </c>
      <c r="BV213" s="34">
        <v>23.769851705226753</v>
      </c>
      <c r="BW213" s="34"/>
      <c r="BZ213" s="34">
        <v>0.61165284831926581</v>
      </c>
      <c r="CA213" s="34">
        <v>541.35540711121587</v>
      </c>
      <c r="CB213" s="34">
        <v>53.237898859326378</v>
      </c>
      <c r="CC213" s="34">
        <v>114.56429880348064</v>
      </c>
      <c r="CD213" s="34">
        <v>12.9780160907646</v>
      </c>
      <c r="CE213" s="34">
        <v>52.551899012823164</v>
      </c>
      <c r="CF213" s="34">
        <v>12.086376862401513</v>
      </c>
      <c r="CG213" s="34">
        <v>1.777334104764001</v>
      </c>
      <c r="CH213" s="34">
        <v>12.2</v>
      </c>
      <c r="CI213" s="34">
        <v>2.1542653522014508</v>
      </c>
      <c r="CJ213" s="34">
        <v>12.625676304383306</v>
      </c>
      <c r="CK213" s="34">
        <v>2.8523831244421771</v>
      </c>
      <c r="CL213" s="34">
        <v>8.1468281224737424</v>
      </c>
      <c r="CM213" s="34">
        <v>1.18759276344816</v>
      </c>
      <c r="CN213" s="34">
        <v>7.6644449947310669</v>
      </c>
      <c r="CO213" s="34">
        <v>1.2850073975529146</v>
      </c>
      <c r="CP213" s="34">
        <v>7.4706321373461799</v>
      </c>
      <c r="CQ213" s="34">
        <v>1.4993179019518548</v>
      </c>
      <c r="CR213" s="34">
        <v>23.891164856681783</v>
      </c>
      <c r="CS213" s="34">
        <v>15.36844854929698</v>
      </c>
      <c r="CT213" s="34">
        <v>3.363072125553805</v>
      </c>
    </row>
    <row r="214" spans="1:98">
      <c r="A214" s="1" t="s">
        <v>289</v>
      </c>
      <c r="B214" s="1" t="s">
        <v>290</v>
      </c>
      <c r="C214" s="8" t="s">
        <v>390</v>
      </c>
      <c r="D214" s="63">
        <v>67.22</v>
      </c>
      <c r="E214" s="63">
        <v>2.93</v>
      </c>
      <c r="F214" s="1" t="s">
        <v>309</v>
      </c>
      <c r="G214" s="36" t="s">
        <v>122</v>
      </c>
      <c r="H214" s="36"/>
      <c r="I214" s="68">
        <f>1144.1+0.7</f>
        <v>1144.8</v>
      </c>
      <c r="J214" s="1" t="s">
        <v>310</v>
      </c>
      <c r="K214" s="1" t="s">
        <v>284</v>
      </c>
      <c r="L214" s="1" t="s">
        <v>864</v>
      </c>
      <c r="M214" s="78" t="s">
        <v>862</v>
      </c>
      <c r="N214" s="78"/>
      <c r="P214" s="1" t="s">
        <v>399</v>
      </c>
      <c r="Q214" s="1" t="s">
        <v>403</v>
      </c>
      <c r="R214" s="4">
        <v>65.17</v>
      </c>
      <c r="S214" s="4">
        <v>1.1759999999999999</v>
      </c>
      <c r="T214" s="4">
        <v>14.327999999999999</v>
      </c>
      <c r="U214" s="4">
        <v>-1.119</v>
      </c>
      <c r="V214" s="4">
        <v>7.71</v>
      </c>
      <c r="W214" s="4">
        <v>9.1999999999999998E-2</v>
      </c>
      <c r="X214" s="4">
        <v>1.5129999999999999</v>
      </c>
      <c r="Y214" s="4">
        <v>3.4409999999999998</v>
      </c>
      <c r="Z214" s="4">
        <v>2.88</v>
      </c>
      <c r="AA214" s="4">
        <v>0.88500000000000001</v>
      </c>
      <c r="AB214" s="4">
        <v>0.20899999999999999</v>
      </c>
      <c r="AC214" s="67">
        <v>3.3079999999999998</v>
      </c>
      <c r="AD214" s="23">
        <f t="shared" si="191"/>
        <v>99.593000000000018</v>
      </c>
      <c r="AE214" s="21">
        <f t="shared" si="192"/>
        <v>6.7040189999999997</v>
      </c>
      <c r="AF214" s="23">
        <f t="shared" si="193"/>
        <v>0.28690425757019589</v>
      </c>
      <c r="AH214" s="16">
        <f t="shared" si="194"/>
        <v>67.684478371501271</v>
      </c>
      <c r="AI214" s="16">
        <f t="shared" si="195"/>
        <v>1.2213740458015265</v>
      </c>
      <c r="AJ214" s="16">
        <f t="shared" si="196"/>
        <v>14.880822558030843</v>
      </c>
      <c r="AK214" s="16">
        <f t="shared" si="197"/>
        <v>-1.1621747935815547</v>
      </c>
      <c r="AL214" s="16">
        <f t="shared" si="198"/>
        <v>8.0074778002804159</v>
      </c>
      <c r="AM214" s="16">
        <f t="shared" si="199"/>
        <v>9.5549670249779284E-2</v>
      </c>
      <c r="AN214" s="16">
        <f t="shared" si="200"/>
        <v>1.5713766422599571</v>
      </c>
      <c r="AO214" s="16">
        <f t="shared" si="201"/>
        <v>3.5737653840162014</v>
      </c>
      <c r="AP214" s="16">
        <f t="shared" si="202"/>
        <v>2.9911201121670037</v>
      </c>
      <c r="AQ214" s="16">
        <f t="shared" si="203"/>
        <v>0.91914628446798552</v>
      </c>
      <c r="AR214" s="16">
        <f t="shared" si="204"/>
        <v>0.21706392480656381</v>
      </c>
      <c r="AS214" s="16">
        <f t="shared" si="205"/>
        <v>100</v>
      </c>
      <c r="AT214" s="16">
        <f t="shared" si="206"/>
        <v>6.9626826608505983</v>
      </c>
      <c r="AV214" s="1" t="s">
        <v>402</v>
      </c>
      <c r="AY214" s="34">
        <v>24.176200309518038</v>
      </c>
      <c r="AZ214" s="34">
        <v>103.84717816841653</v>
      </c>
      <c r="BA214" s="6">
        <v>119</v>
      </c>
      <c r="BB214" s="34">
        <v>43.695594263844463</v>
      </c>
      <c r="BC214" s="6">
        <v>56</v>
      </c>
      <c r="BD214" s="34">
        <v>10.112990716230525</v>
      </c>
      <c r="BE214" s="34"/>
      <c r="BF214" s="34">
        <v>9.2056615975663778</v>
      </c>
      <c r="BG214" s="6">
        <v>10</v>
      </c>
      <c r="BH214" s="34">
        <v>11.72233901596711</v>
      </c>
      <c r="BI214" s="6">
        <v>15</v>
      </c>
      <c r="BJ214" s="34">
        <v>102.59270801058494</v>
      </c>
      <c r="BK214" s="6">
        <v>99</v>
      </c>
      <c r="BN214" s="34">
        <v>56.649601768623945</v>
      </c>
      <c r="BO214" s="34"/>
      <c r="BP214" s="34">
        <v>171.48735211486465</v>
      </c>
      <c r="BQ214" s="1">
        <v>170</v>
      </c>
      <c r="BR214" s="34">
        <v>49.839172486816686</v>
      </c>
      <c r="BS214" s="1">
        <v>15</v>
      </c>
      <c r="BT214" s="34">
        <v>354.49188720755183</v>
      </c>
      <c r="BU214" s="1">
        <v>220</v>
      </c>
      <c r="BV214" s="34">
        <v>21.234271199915451</v>
      </c>
      <c r="BW214" s="34"/>
      <c r="BZ214" s="34">
        <v>5.2655070519588767</v>
      </c>
      <c r="CA214" s="34">
        <v>494.00851974492542</v>
      </c>
      <c r="CB214" s="34">
        <v>41.734472857967923</v>
      </c>
      <c r="CC214" s="34">
        <v>91.205246701391005</v>
      </c>
      <c r="CD214" s="34">
        <v>9.8046546872157094</v>
      </c>
      <c r="CE214" s="34">
        <v>38.216650463329664</v>
      </c>
      <c r="CF214" s="34">
        <v>8.2699562568754619</v>
      </c>
      <c r="CG214" s="34">
        <v>1.2874780696030659</v>
      </c>
      <c r="CH214" s="34">
        <v>7.82</v>
      </c>
      <c r="CI214" s="34">
        <v>1.3342889183540443</v>
      </c>
      <c r="CJ214" s="34">
        <v>7.6281136371766394</v>
      </c>
      <c r="CK214" s="34">
        <v>1.6586525349396395</v>
      </c>
      <c r="CL214" s="34">
        <v>4.8349396295559481</v>
      </c>
      <c r="CM214" s="34">
        <v>0.70213078425137232</v>
      </c>
      <c r="CN214" s="34">
        <v>4.5456063109343319</v>
      </c>
      <c r="CO214" s="34">
        <v>0.74169446061557265</v>
      </c>
      <c r="CP214" s="34">
        <v>6.8358815297296642</v>
      </c>
      <c r="CQ214" s="34">
        <v>1.324077109210495</v>
      </c>
      <c r="CR214" s="34">
        <v>20.552751977945306</v>
      </c>
      <c r="CS214" s="34">
        <v>13.599232641643693</v>
      </c>
      <c r="CT214" s="34">
        <v>3.1299689551914192</v>
      </c>
    </row>
    <row r="215" spans="1:98">
      <c r="A215" s="1" t="s">
        <v>289</v>
      </c>
      <c r="B215" s="1" t="s">
        <v>290</v>
      </c>
      <c r="C215" s="35" t="s">
        <v>391</v>
      </c>
      <c r="D215" s="63">
        <v>67.22</v>
      </c>
      <c r="E215" s="63">
        <v>2.93</v>
      </c>
      <c r="F215" s="1" t="s">
        <v>309</v>
      </c>
      <c r="G215" s="1" t="s">
        <v>303</v>
      </c>
      <c r="I215" s="68">
        <f>1155+1</f>
        <v>1156</v>
      </c>
      <c r="J215" s="1" t="s">
        <v>256</v>
      </c>
      <c r="K215" s="1" t="s">
        <v>284</v>
      </c>
      <c r="L215" s="1" t="s">
        <v>864</v>
      </c>
      <c r="M215" s="78" t="s">
        <v>862</v>
      </c>
      <c r="N215" s="78"/>
      <c r="P215" s="1" t="s">
        <v>399</v>
      </c>
      <c r="Q215" s="1" t="s">
        <v>403</v>
      </c>
      <c r="R215" s="4">
        <v>62.948</v>
      </c>
      <c r="S215" s="4">
        <v>1.2110000000000001</v>
      </c>
      <c r="T215" s="4">
        <v>14.157999999999999</v>
      </c>
      <c r="U215" s="4">
        <v>0.92900000000000005</v>
      </c>
      <c r="V215" s="4">
        <v>6.75</v>
      </c>
      <c r="W215" s="4">
        <v>0.14199999999999999</v>
      </c>
      <c r="X215" s="4">
        <v>1.7829999999999999</v>
      </c>
      <c r="Y215" s="4">
        <v>3.387</v>
      </c>
      <c r="Z215" s="4">
        <v>3.23</v>
      </c>
      <c r="AA215" s="4">
        <v>1.173</v>
      </c>
      <c r="AB215" s="4">
        <v>0.217</v>
      </c>
      <c r="AC215" s="67">
        <v>3.5110000000000001</v>
      </c>
      <c r="AD215" s="23">
        <f t="shared" si="191"/>
        <v>99.439000000000007</v>
      </c>
      <c r="AE215" s="21">
        <f t="shared" si="192"/>
        <v>7.5851709999999999</v>
      </c>
      <c r="AF215" s="23">
        <f t="shared" si="193"/>
        <v>0.29530586968528266</v>
      </c>
      <c r="AH215" s="16">
        <f t="shared" si="194"/>
        <v>65.620048369610529</v>
      </c>
      <c r="AI215" s="16">
        <f t="shared" si="195"/>
        <v>1.262405137186223</v>
      </c>
      <c r="AJ215" s="16">
        <f t="shared" si="196"/>
        <v>14.758985906096237</v>
      </c>
      <c r="AK215" s="16">
        <f t="shared" si="197"/>
        <v>0.96843465932782913</v>
      </c>
      <c r="AL215" s="16">
        <f t="shared" si="198"/>
        <v>7.036527395546659</v>
      </c>
      <c r="AM215" s="16">
        <f t="shared" si="199"/>
        <v>0.14802768743224082</v>
      </c>
      <c r="AN215" s="16">
        <f t="shared" si="200"/>
        <v>1.8586856809273617</v>
      </c>
      <c r="AO215" s="16">
        <f t="shared" si="201"/>
        <v>3.5307730798098569</v>
      </c>
      <c r="AP215" s="16">
        <f t="shared" si="202"/>
        <v>3.367108664831957</v>
      </c>
      <c r="AQ215" s="16">
        <f t="shared" si="203"/>
        <v>1.2227920940705528</v>
      </c>
      <c r="AR215" s="16">
        <f t="shared" si="204"/>
        <v>0.22621132516053705</v>
      </c>
      <c r="AS215" s="16">
        <f t="shared" si="205"/>
        <v>100</v>
      </c>
      <c r="AT215" s="16">
        <f t="shared" si="206"/>
        <v>7.9071501542823777</v>
      </c>
      <c r="AV215" s="1" t="s">
        <v>402</v>
      </c>
      <c r="AY215" s="34"/>
      <c r="AZ215" s="34"/>
      <c r="BA215" s="6">
        <v>116</v>
      </c>
      <c r="BB215" s="34"/>
      <c r="BC215" s="6">
        <v>54</v>
      </c>
      <c r="BD215" s="34"/>
      <c r="BE215" s="34"/>
      <c r="BF215" s="34"/>
      <c r="BG215" s="6">
        <v>0</v>
      </c>
      <c r="BH215" s="34"/>
      <c r="BI215" s="6">
        <v>14</v>
      </c>
      <c r="BJ215" s="34"/>
      <c r="BK215" s="6">
        <v>114</v>
      </c>
      <c r="BN215" s="34"/>
      <c r="BO215" s="34"/>
      <c r="BP215" s="34"/>
      <c r="BQ215" s="1">
        <v>155</v>
      </c>
      <c r="BR215" s="34"/>
      <c r="BS215" s="1">
        <v>11</v>
      </c>
      <c r="BT215" s="34"/>
      <c r="BU215" s="1">
        <v>320</v>
      </c>
      <c r="BV215" s="34"/>
      <c r="BW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</row>
    <row r="216" spans="1:98">
      <c r="A216" s="1" t="s">
        <v>289</v>
      </c>
      <c r="B216" s="1" t="s">
        <v>290</v>
      </c>
      <c r="C216" s="8" t="s">
        <v>392</v>
      </c>
      <c r="D216" s="63">
        <v>67.22</v>
      </c>
      <c r="E216" s="63">
        <v>2.93</v>
      </c>
      <c r="F216" s="1" t="s">
        <v>309</v>
      </c>
      <c r="G216" s="1" t="s">
        <v>96</v>
      </c>
      <c r="I216" s="68">
        <f>1172.5+1.14</f>
        <v>1173.6400000000001</v>
      </c>
      <c r="J216" s="1" t="s">
        <v>315</v>
      </c>
      <c r="K216" s="1" t="s">
        <v>52</v>
      </c>
      <c r="L216" s="1" t="s">
        <v>864</v>
      </c>
      <c r="M216" s="78" t="s">
        <v>862</v>
      </c>
      <c r="N216" s="78"/>
      <c r="P216" s="1" t="s">
        <v>399</v>
      </c>
      <c r="Q216" s="1" t="s">
        <v>403</v>
      </c>
      <c r="R216" s="4">
        <v>51.280999999999999</v>
      </c>
      <c r="S216" s="4">
        <v>1.0760000000000001</v>
      </c>
      <c r="T216" s="4">
        <v>13.176</v>
      </c>
      <c r="U216" s="4">
        <v>3.43</v>
      </c>
      <c r="V216" s="4">
        <v>9.32</v>
      </c>
      <c r="W216" s="4">
        <v>0.223</v>
      </c>
      <c r="X216" s="4">
        <v>7.1829999999999998</v>
      </c>
      <c r="Y216" s="4">
        <v>10.355</v>
      </c>
      <c r="Z216" s="4">
        <v>2.33</v>
      </c>
      <c r="AA216" s="4">
        <v>0.222</v>
      </c>
      <c r="AB216" s="4">
        <v>0.106</v>
      </c>
      <c r="AC216" s="67">
        <v>1.177</v>
      </c>
      <c r="AD216" s="23">
        <f t="shared" si="191"/>
        <v>99.879000000000019</v>
      </c>
      <c r="AE216" s="21">
        <f t="shared" si="192"/>
        <v>12.40357</v>
      </c>
      <c r="AF216" s="23">
        <f t="shared" si="193"/>
        <v>0.50796893052107051</v>
      </c>
      <c r="AH216" s="16">
        <f t="shared" si="194"/>
        <v>51.955380843346624</v>
      </c>
      <c r="AI216" s="16">
        <f t="shared" si="195"/>
        <v>1.0901501489331522</v>
      </c>
      <c r="AJ216" s="16">
        <f t="shared" si="196"/>
        <v>13.34927357095094</v>
      </c>
      <c r="AK216" s="16">
        <f t="shared" si="197"/>
        <v>3.475106887398431</v>
      </c>
      <c r="AL216" s="16">
        <f t="shared" si="198"/>
        <v>9.4425644870418015</v>
      </c>
      <c r="AM216" s="16">
        <f t="shared" si="199"/>
        <v>0.22593260521569977</v>
      </c>
      <c r="AN216" s="16">
        <f t="shared" si="200"/>
        <v>7.2774614496160144</v>
      </c>
      <c r="AO216" s="16">
        <f t="shared" si="201"/>
        <v>10.491175457437539</v>
      </c>
      <c r="AP216" s="16">
        <f t="shared" si="202"/>
        <v>2.3606411217604504</v>
      </c>
      <c r="AQ216" s="16">
        <f t="shared" si="203"/>
        <v>0.22491945451966522</v>
      </c>
      <c r="AR216" s="16">
        <f t="shared" si="204"/>
        <v>0.10739397377965997</v>
      </c>
      <c r="AS216" s="16">
        <f t="shared" si="205"/>
        <v>99.999999999999986</v>
      </c>
      <c r="AT216" s="16">
        <f t="shared" si="206"/>
        <v>12.56668557881299</v>
      </c>
      <c r="AV216" s="1" t="s">
        <v>402</v>
      </c>
      <c r="AY216" s="34"/>
      <c r="AZ216" s="34"/>
      <c r="BA216" s="6">
        <v>348</v>
      </c>
      <c r="BB216" s="34"/>
      <c r="BC216" s="6">
        <v>213</v>
      </c>
      <c r="BD216" s="34"/>
      <c r="BE216" s="34"/>
      <c r="BF216" s="34"/>
      <c r="BG216" s="6">
        <v>100</v>
      </c>
      <c r="BH216" s="34"/>
      <c r="BI216" s="6">
        <v>68</v>
      </c>
      <c r="BJ216" s="34"/>
      <c r="BK216" s="6">
        <v>108</v>
      </c>
      <c r="BN216" s="34"/>
      <c r="BO216" s="34"/>
      <c r="BP216" s="34"/>
      <c r="BQ216" s="1">
        <v>74</v>
      </c>
      <c r="BR216" s="34"/>
      <c r="BS216" s="1">
        <v>27</v>
      </c>
      <c r="BT216" s="34"/>
      <c r="BU216" s="1">
        <v>141</v>
      </c>
      <c r="BV216" s="34"/>
      <c r="BW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</row>
    <row r="217" spans="1:98">
      <c r="A217" s="1" t="s">
        <v>289</v>
      </c>
      <c r="B217" s="1" t="s">
        <v>290</v>
      </c>
      <c r="C217" s="35" t="s">
        <v>393</v>
      </c>
      <c r="D217" s="63">
        <v>67.22</v>
      </c>
      <c r="E217" s="63">
        <v>2.93</v>
      </c>
      <c r="F217" s="1" t="s">
        <v>309</v>
      </c>
      <c r="G217" s="1" t="s">
        <v>302</v>
      </c>
      <c r="I217" s="68">
        <f>1181.9+0.82</f>
        <v>1182.72</v>
      </c>
      <c r="J217" s="1" t="s">
        <v>256</v>
      </c>
      <c r="K217" s="1" t="s">
        <v>317</v>
      </c>
      <c r="L217" s="1" t="s">
        <v>864</v>
      </c>
      <c r="M217" s="78" t="s">
        <v>862</v>
      </c>
      <c r="N217" s="78"/>
      <c r="P217" s="1" t="s">
        <v>399</v>
      </c>
      <c r="Q217" s="1" t="s">
        <v>403</v>
      </c>
      <c r="R217" s="4">
        <v>59.866</v>
      </c>
      <c r="S217" s="4">
        <v>1.3180000000000001</v>
      </c>
      <c r="T217" s="4">
        <v>15.631</v>
      </c>
      <c r="U217" s="4">
        <v>2.8029999999999999</v>
      </c>
      <c r="V217" s="4">
        <v>6.18</v>
      </c>
      <c r="W217" s="4">
        <v>0.155</v>
      </c>
      <c r="X217" s="4">
        <v>2.14</v>
      </c>
      <c r="Y217" s="4">
        <v>3.9329999999999998</v>
      </c>
      <c r="Z217" s="4">
        <v>2.94</v>
      </c>
      <c r="AA217" s="4">
        <v>0.71899999999999997</v>
      </c>
      <c r="AB217" s="4">
        <v>0.224</v>
      </c>
      <c r="AC217" s="67">
        <v>3.6880000000000002</v>
      </c>
      <c r="AD217" s="23">
        <f t="shared" si="191"/>
        <v>99.597000000000008</v>
      </c>
      <c r="AE217" s="21">
        <f t="shared" si="192"/>
        <v>8.699897</v>
      </c>
      <c r="AF217" s="23">
        <f t="shared" si="193"/>
        <v>0.30483899583220675</v>
      </c>
      <c r="AH217" s="16">
        <f t="shared" si="194"/>
        <v>62.41958523183434</v>
      </c>
      <c r="AI217" s="16">
        <f t="shared" si="195"/>
        <v>1.3742193120562201</v>
      </c>
      <c r="AJ217" s="16">
        <f t="shared" si="196"/>
        <v>16.297740566578735</v>
      </c>
      <c r="AK217" s="16">
        <f t="shared" si="197"/>
        <v>2.9225620119071203</v>
      </c>
      <c r="AL217" s="16">
        <f t="shared" si="198"/>
        <v>6.4436080034199081</v>
      </c>
      <c r="AM217" s="16">
        <f t="shared" si="199"/>
        <v>0.16161152759386502</v>
      </c>
      <c r="AN217" s="16">
        <f t="shared" si="200"/>
        <v>2.2312817358120718</v>
      </c>
      <c r="AO217" s="16">
        <f t="shared" si="201"/>
        <v>4.1007621808172319</v>
      </c>
      <c r="AP217" s="16">
        <f t="shared" si="202"/>
        <v>3.0654057491997619</v>
      </c>
      <c r="AQ217" s="16">
        <f t="shared" si="203"/>
        <v>0.74966895703218661</v>
      </c>
      <c r="AR217" s="16">
        <f t="shared" si="204"/>
        <v>0.23355472374855332</v>
      </c>
      <c r="AS217" s="16">
        <f t="shared" si="205"/>
        <v>99.999999999999986</v>
      </c>
      <c r="AT217" s="16">
        <f t="shared" si="206"/>
        <v>9.0709912521244096</v>
      </c>
      <c r="AV217" s="1" t="s">
        <v>402</v>
      </c>
      <c r="AY217" s="34"/>
      <c r="AZ217" s="34"/>
      <c r="BA217" s="6">
        <v>132</v>
      </c>
      <c r="BB217" s="34"/>
      <c r="BC217" s="6">
        <v>56</v>
      </c>
      <c r="BD217" s="34"/>
      <c r="BE217" s="34"/>
      <c r="BF217" s="34"/>
      <c r="BG217" s="6">
        <v>2</v>
      </c>
      <c r="BH217" s="34"/>
      <c r="BI217" s="6">
        <v>14</v>
      </c>
      <c r="BJ217" s="34"/>
      <c r="BK217" s="6">
        <v>122</v>
      </c>
      <c r="BN217" s="34"/>
      <c r="BO217" s="34"/>
      <c r="BP217" s="34"/>
      <c r="BQ217" s="1">
        <v>192</v>
      </c>
      <c r="BR217" s="34"/>
      <c r="BS217" s="1">
        <v>17</v>
      </c>
      <c r="BT217" s="34"/>
      <c r="BU217" s="1">
        <v>348</v>
      </c>
      <c r="BV217" s="34"/>
      <c r="BW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</row>
    <row r="218" spans="1:98">
      <c r="A218" s="1" t="s">
        <v>289</v>
      </c>
      <c r="B218" s="1" t="s">
        <v>290</v>
      </c>
      <c r="C218" s="8" t="s">
        <v>394</v>
      </c>
      <c r="D218" s="63">
        <v>67.22</v>
      </c>
      <c r="E218" s="63">
        <v>2.93</v>
      </c>
      <c r="F218" s="1" t="s">
        <v>309</v>
      </c>
      <c r="G218" s="36" t="s">
        <v>103</v>
      </c>
      <c r="H218" s="36"/>
      <c r="I218" s="68">
        <f>1192.79+0.87</f>
        <v>1193.6599999999999</v>
      </c>
      <c r="J218" s="1" t="s">
        <v>310</v>
      </c>
      <c r="K218" s="1" t="s">
        <v>52</v>
      </c>
      <c r="L218" s="1" t="s">
        <v>864</v>
      </c>
      <c r="M218" s="78" t="s">
        <v>862</v>
      </c>
      <c r="N218" s="78"/>
      <c r="P218" s="1" t="s">
        <v>399</v>
      </c>
      <c r="Q218" s="1" t="s">
        <v>403</v>
      </c>
      <c r="R218" s="4">
        <v>47.497</v>
      </c>
      <c r="S218" s="4">
        <v>1.44</v>
      </c>
      <c r="T218" s="4">
        <v>17.632999999999999</v>
      </c>
      <c r="U218" s="4">
        <v>5.8070000000000004</v>
      </c>
      <c r="V218" s="4">
        <v>5.35</v>
      </c>
      <c r="W218" s="4">
        <v>0.156</v>
      </c>
      <c r="X218" s="4">
        <v>5.4790000000000001</v>
      </c>
      <c r="Y218" s="4">
        <v>8.2739999999999991</v>
      </c>
      <c r="Z218" s="4">
        <v>3.48</v>
      </c>
      <c r="AA218" s="4">
        <v>0.29599999999999999</v>
      </c>
      <c r="AB218" s="4">
        <v>0.16300000000000001</v>
      </c>
      <c r="AC218" s="67">
        <v>3.0950000000000002</v>
      </c>
      <c r="AD218" s="23">
        <f t="shared" si="191"/>
        <v>98.67</v>
      </c>
      <c r="AE218" s="21">
        <f t="shared" si="192"/>
        <v>10.570492999999999</v>
      </c>
      <c r="AF218" s="23">
        <f t="shared" si="193"/>
        <v>0.48026071331547565</v>
      </c>
      <c r="AH218" s="16">
        <f t="shared" si="194"/>
        <v>49.696050222338471</v>
      </c>
      <c r="AI218" s="16">
        <f t="shared" si="195"/>
        <v>1.5066701543290608</v>
      </c>
      <c r="AJ218" s="16">
        <f t="shared" si="196"/>
        <v>18.449385299503007</v>
      </c>
      <c r="AK218" s="16">
        <f t="shared" si="197"/>
        <v>6.0758566570755956</v>
      </c>
      <c r="AL218" s="16">
        <f t="shared" si="198"/>
        <v>5.597698142819775</v>
      </c>
      <c r="AM218" s="16">
        <f t="shared" si="199"/>
        <v>0.16322260005231493</v>
      </c>
      <c r="AN218" s="16">
        <f t="shared" si="200"/>
        <v>5.7326706774784197</v>
      </c>
      <c r="AO218" s="16">
        <f t="shared" si="201"/>
        <v>8.6570755950823948</v>
      </c>
      <c r="AP218" s="16">
        <f t="shared" si="202"/>
        <v>3.6411195396285638</v>
      </c>
      <c r="AQ218" s="16">
        <f t="shared" si="203"/>
        <v>0.3097044206120847</v>
      </c>
      <c r="AR218" s="16">
        <f t="shared" si="204"/>
        <v>0.17054669108030343</v>
      </c>
      <c r="AS218" s="16">
        <f t="shared" si="205"/>
        <v>99.999999999999986</v>
      </c>
      <c r="AT218" s="16">
        <f t="shared" si="206"/>
        <v>11.059893277530737</v>
      </c>
      <c r="AV218" s="1" t="s">
        <v>402</v>
      </c>
      <c r="AY218" s="34">
        <v>57.003243221731964</v>
      </c>
      <c r="AZ218" s="34">
        <v>459.40650031405841</v>
      </c>
      <c r="BA218" s="6">
        <v>457</v>
      </c>
      <c r="BB218" s="34">
        <v>173.30096054282157</v>
      </c>
      <c r="BC218" s="6">
        <v>171</v>
      </c>
      <c r="BD218" s="34">
        <v>49.093266085086981</v>
      </c>
      <c r="BE218" s="34"/>
      <c r="BF218" s="34">
        <v>67.105664054738099</v>
      </c>
      <c r="BG218" s="6">
        <v>73</v>
      </c>
      <c r="BH218" s="34">
        <v>77.182968257162656</v>
      </c>
      <c r="BI218" s="6">
        <v>84</v>
      </c>
      <c r="BJ218" s="34">
        <v>133.70284319218175</v>
      </c>
      <c r="BK218" s="6">
        <v>128</v>
      </c>
      <c r="BN218" s="34">
        <v>4.1818303874648128</v>
      </c>
      <c r="BO218" s="34"/>
      <c r="BP218" s="34">
        <v>99.948547843907662</v>
      </c>
      <c r="BQ218" s="1">
        <v>101</v>
      </c>
      <c r="BR218" s="34">
        <v>47.101298053337111</v>
      </c>
      <c r="BS218" s="1">
        <v>26</v>
      </c>
      <c r="BT218" s="34">
        <v>87.174157200562078</v>
      </c>
      <c r="BU218" s="1">
        <v>74</v>
      </c>
      <c r="BV218" s="34">
        <v>3.717843234362173</v>
      </c>
      <c r="BW218" s="34"/>
      <c r="BZ218" s="34">
        <v>0.18280305560490107</v>
      </c>
      <c r="CA218" s="34">
        <v>101.35281647770444</v>
      </c>
      <c r="CB218" s="34">
        <v>9.5547050504830082</v>
      </c>
      <c r="CC218" s="34">
        <v>16.515592634519184</v>
      </c>
      <c r="CD218" s="34">
        <v>2.0856166883895639</v>
      </c>
      <c r="CE218" s="34">
        <v>10.03354074527026</v>
      </c>
      <c r="CF218" s="34">
        <v>3.5196614569435716</v>
      </c>
      <c r="CG218" s="34">
        <v>1.2469295172977601</v>
      </c>
      <c r="CH218" s="34">
        <v>4.7699999999999996</v>
      </c>
      <c r="CI218" s="34">
        <v>1.0292916312434919</v>
      </c>
      <c r="CJ218" s="34">
        <v>6.6632271282433573</v>
      </c>
      <c r="CK218" s="34">
        <v>1.5961085626378033</v>
      </c>
      <c r="CL218" s="34">
        <v>4.6535775110041184</v>
      </c>
      <c r="CM218" s="34">
        <v>0.69416398093912146</v>
      </c>
      <c r="CN218" s="34">
        <v>4.6274929386598425</v>
      </c>
      <c r="CO218" s="34">
        <v>0.76008561746730852</v>
      </c>
      <c r="CP218" s="34">
        <v>2.4448892382952709</v>
      </c>
      <c r="CQ218" s="34">
        <v>0.23058967576297706</v>
      </c>
      <c r="CR218" s="34">
        <v>2.196396163276781</v>
      </c>
      <c r="CS218" s="34">
        <v>1.6689447918551596</v>
      </c>
      <c r="CT218" s="34">
        <v>0.40785392069559095</v>
      </c>
    </row>
    <row r="219" spans="1:98">
      <c r="A219" s="1" t="s">
        <v>289</v>
      </c>
      <c r="B219" s="1" t="s">
        <v>290</v>
      </c>
      <c r="C219" s="8" t="s">
        <v>320</v>
      </c>
      <c r="D219" s="63">
        <v>67.22</v>
      </c>
      <c r="E219" s="63">
        <v>2.93</v>
      </c>
      <c r="F219" s="1" t="s">
        <v>309</v>
      </c>
      <c r="G219" s="1" t="s">
        <v>105</v>
      </c>
      <c r="I219" s="68">
        <f>1195.79+0.79</f>
        <v>1196.58</v>
      </c>
      <c r="J219" s="1" t="s">
        <v>311</v>
      </c>
      <c r="K219" s="1" t="s">
        <v>319</v>
      </c>
      <c r="L219" s="1" t="s">
        <v>864</v>
      </c>
      <c r="M219" s="78" t="s">
        <v>862</v>
      </c>
      <c r="N219" s="78"/>
      <c r="P219" s="1" t="s">
        <v>399</v>
      </c>
      <c r="Q219" s="1" t="s">
        <v>403</v>
      </c>
      <c r="R219" s="4">
        <v>75.659000000000006</v>
      </c>
      <c r="S219" s="4">
        <v>0.78700000000000003</v>
      </c>
      <c r="T219" s="4">
        <v>10.712</v>
      </c>
      <c r="U219" s="4">
        <v>-0.78</v>
      </c>
      <c r="V219" s="4">
        <v>1.87</v>
      </c>
      <c r="W219" s="4">
        <v>1.4999999999999999E-2</v>
      </c>
      <c r="X219" s="4">
        <v>0.41199999999999998</v>
      </c>
      <c r="Y219" s="4">
        <v>0.39900000000000002</v>
      </c>
      <c r="Z219" s="4">
        <v>0.41</v>
      </c>
      <c r="AA219" s="4">
        <v>7.8719999999999999</v>
      </c>
      <c r="AB219" s="4">
        <v>0.214</v>
      </c>
      <c r="AC219" s="67">
        <v>1.698</v>
      </c>
      <c r="AD219" s="23">
        <f t="shared" si="191"/>
        <v>99.268000000000015</v>
      </c>
      <c r="AE219" s="21">
        <f t="shared" si="192"/>
        <v>1.1687799999999999</v>
      </c>
      <c r="AF219" s="23">
        <f t="shared" si="193"/>
        <v>0.38590776026177931</v>
      </c>
      <c r="AH219" s="16">
        <f t="shared" si="194"/>
        <v>77.543302244542375</v>
      </c>
      <c r="AI219" s="16">
        <f t="shared" si="195"/>
        <v>0.80660038946397439</v>
      </c>
      <c r="AJ219" s="16">
        <f t="shared" si="196"/>
        <v>10.978784462437222</v>
      </c>
      <c r="AK219" s="16">
        <f t="shared" si="197"/>
        <v>-0.79942605309008896</v>
      </c>
      <c r="AL219" s="16">
        <f t="shared" si="198"/>
        <v>1.9165727170236748</v>
      </c>
      <c r="AM219" s="16">
        <f t="shared" si="199"/>
        <v>1.5373577944040174E-2</v>
      </c>
      <c r="AN219" s="16">
        <f t="shared" si="200"/>
        <v>0.42226094086297006</v>
      </c>
      <c r="AO219" s="16">
        <f t="shared" si="201"/>
        <v>0.40893717331146867</v>
      </c>
      <c r="AP219" s="16">
        <f t="shared" si="202"/>
        <v>0.4202111304704314</v>
      </c>
      <c r="AQ219" s="16">
        <f t="shared" si="203"/>
        <v>8.068053705032284</v>
      </c>
      <c r="AR219" s="16">
        <f t="shared" si="204"/>
        <v>0.21932971200163978</v>
      </c>
      <c r="AS219" s="16">
        <f t="shared" si="205"/>
        <v>100</v>
      </c>
      <c r="AT219" s="16">
        <f t="shared" si="206"/>
        <v>1.1978886952956849</v>
      </c>
      <c r="AV219" s="1" t="s">
        <v>402</v>
      </c>
      <c r="AY219" s="1"/>
      <c r="AZ219" s="1"/>
      <c r="BA219" s="6">
        <v>73</v>
      </c>
      <c r="BB219" s="1"/>
      <c r="BC219" s="6">
        <v>28</v>
      </c>
      <c r="BD219" s="1"/>
      <c r="BE219" s="1"/>
      <c r="BF219" s="1"/>
      <c r="BG219" s="6">
        <v>1</v>
      </c>
      <c r="BH219" s="1"/>
      <c r="BI219" s="6">
        <v>17</v>
      </c>
      <c r="BJ219" s="1"/>
      <c r="BK219" s="6">
        <v>75</v>
      </c>
      <c r="BN219" s="1"/>
      <c r="BO219" s="1"/>
      <c r="BP219" s="1"/>
      <c r="BQ219" s="1">
        <v>25</v>
      </c>
      <c r="BR219" s="1"/>
      <c r="BS219" s="1">
        <v>2</v>
      </c>
      <c r="BT219" s="1"/>
      <c r="BU219" s="1">
        <v>167</v>
      </c>
      <c r="BV219" s="1"/>
      <c r="BW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</row>
    <row r="220" spans="1:98">
      <c r="A220" s="1" t="s">
        <v>289</v>
      </c>
      <c r="B220" s="1" t="s">
        <v>290</v>
      </c>
      <c r="C220" s="35" t="s">
        <v>395</v>
      </c>
      <c r="D220" s="63">
        <v>67.22</v>
      </c>
      <c r="E220" s="63">
        <v>2.93</v>
      </c>
      <c r="F220" s="1" t="s">
        <v>309</v>
      </c>
      <c r="G220" s="1" t="s">
        <v>301</v>
      </c>
      <c r="I220" s="68">
        <f>1202.4+0.81</f>
        <v>1203.21</v>
      </c>
      <c r="J220" s="1" t="s">
        <v>256</v>
      </c>
      <c r="K220" s="1" t="s">
        <v>52</v>
      </c>
      <c r="L220" s="1" t="s">
        <v>864</v>
      </c>
      <c r="M220" s="78" t="s">
        <v>862</v>
      </c>
      <c r="N220" s="78"/>
      <c r="P220" s="1" t="s">
        <v>399</v>
      </c>
      <c r="Q220" s="1" t="s">
        <v>403</v>
      </c>
      <c r="R220" s="4">
        <v>49.615000000000002</v>
      </c>
      <c r="S220" s="4">
        <v>1.226</v>
      </c>
      <c r="T220" s="4">
        <v>17.538</v>
      </c>
      <c r="U220" s="4">
        <v>3.105</v>
      </c>
      <c r="V220" s="4">
        <v>6.2</v>
      </c>
      <c r="W220" s="4">
        <v>8.7999999999999995E-2</v>
      </c>
      <c r="X220" s="4">
        <v>5.0650000000000004</v>
      </c>
      <c r="Y220" s="4">
        <v>6.3730000000000002</v>
      </c>
      <c r="Z220" s="4">
        <v>2.84</v>
      </c>
      <c r="AA220" s="4">
        <v>2.048</v>
      </c>
      <c r="AB220" s="4">
        <v>0.17499999999999999</v>
      </c>
      <c r="AC220" s="67">
        <v>4.9800000000000004</v>
      </c>
      <c r="AD220" s="23">
        <f t="shared" si="191"/>
        <v>99.253000000000014</v>
      </c>
      <c r="AE220" s="21">
        <f t="shared" si="192"/>
        <v>8.9913950000000007</v>
      </c>
      <c r="AF220" s="23">
        <f t="shared" si="193"/>
        <v>0.50105793882619432</v>
      </c>
      <c r="AH220" s="16">
        <f t="shared" si="194"/>
        <v>52.629066646866008</v>
      </c>
      <c r="AI220" s="16">
        <f t="shared" si="195"/>
        <v>1.3004783978445575</v>
      </c>
      <c r="AJ220" s="16">
        <f t="shared" si="196"/>
        <v>18.603417733603468</v>
      </c>
      <c r="AK220" s="16">
        <f t="shared" si="197"/>
        <v>3.2936259586519996</v>
      </c>
      <c r="AL220" s="16">
        <f t="shared" si="198"/>
        <v>6.5766444262938482</v>
      </c>
      <c r="AM220" s="16">
        <f t="shared" si="199"/>
        <v>9.3345920889332024E-2</v>
      </c>
      <c r="AN220" s="16">
        <f t="shared" si="200"/>
        <v>5.3726941966416684</v>
      </c>
      <c r="AO220" s="16">
        <f t="shared" si="201"/>
        <v>6.760154020769467</v>
      </c>
      <c r="AP220" s="16">
        <f t="shared" si="202"/>
        <v>3.0125274468829883</v>
      </c>
      <c r="AQ220" s="16">
        <f t="shared" si="203"/>
        <v>2.172414158879</v>
      </c>
      <c r="AR220" s="16">
        <f t="shared" si="204"/>
        <v>0.18563109267764893</v>
      </c>
      <c r="AS220" s="16">
        <f t="shared" si="205"/>
        <v>99.999999999999986</v>
      </c>
      <c r="AT220" s="16">
        <f t="shared" si="206"/>
        <v>9.5376141631219955</v>
      </c>
      <c r="AV220" s="1" t="s">
        <v>402</v>
      </c>
      <c r="AY220" s="34"/>
      <c r="AZ220" s="34"/>
      <c r="BA220" s="6">
        <v>220</v>
      </c>
      <c r="BB220" s="34"/>
      <c r="BC220" s="6">
        <v>154</v>
      </c>
      <c r="BD220" s="34"/>
      <c r="BE220" s="34"/>
      <c r="BF220" s="34"/>
      <c r="BG220" s="6">
        <v>0</v>
      </c>
      <c r="BH220" s="34"/>
      <c r="BI220" s="6">
        <v>18</v>
      </c>
      <c r="BJ220" s="34"/>
      <c r="BK220" s="6">
        <v>89</v>
      </c>
      <c r="BN220" s="34"/>
      <c r="BO220" s="34"/>
      <c r="BP220" s="34"/>
      <c r="BQ220" s="1">
        <v>131</v>
      </c>
      <c r="BR220" s="34"/>
      <c r="BS220" s="1">
        <v>14</v>
      </c>
      <c r="BT220" s="34"/>
      <c r="BU220" s="1">
        <v>181</v>
      </c>
      <c r="BV220" s="34"/>
      <c r="BW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</row>
    <row r="221" spans="1:98">
      <c r="A221" s="1" t="s">
        <v>289</v>
      </c>
      <c r="B221" s="1" t="s">
        <v>290</v>
      </c>
      <c r="C221" s="8" t="s">
        <v>396</v>
      </c>
      <c r="D221" s="63">
        <v>67.22</v>
      </c>
      <c r="E221" s="63">
        <v>2.93</v>
      </c>
      <c r="F221" s="1" t="s">
        <v>309</v>
      </c>
      <c r="G221" s="36" t="s">
        <v>300</v>
      </c>
      <c r="H221" s="36"/>
      <c r="I221" s="68">
        <f>1210.4+0.06</f>
        <v>1210.46</v>
      </c>
      <c r="J221" s="1" t="s">
        <v>256</v>
      </c>
      <c r="K221" s="1" t="s">
        <v>52</v>
      </c>
      <c r="L221" s="1" t="s">
        <v>864</v>
      </c>
      <c r="M221" s="78" t="s">
        <v>862</v>
      </c>
      <c r="N221" s="78"/>
      <c r="P221" s="1" t="s">
        <v>399</v>
      </c>
      <c r="Q221" s="1" t="s">
        <v>403</v>
      </c>
      <c r="R221" s="4">
        <v>49.258000000000003</v>
      </c>
      <c r="S221" s="4">
        <v>1.2170000000000001</v>
      </c>
      <c r="T221" s="4">
        <v>17.798999999999999</v>
      </c>
      <c r="U221" s="4">
        <v>3.254</v>
      </c>
      <c r="V221" s="4">
        <v>6.7</v>
      </c>
      <c r="W221" s="4">
        <v>0.111</v>
      </c>
      <c r="X221" s="4">
        <v>5.7210000000000001</v>
      </c>
      <c r="Y221" s="4">
        <v>6.8319999999999999</v>
      </c>
      <c r="Z221" s="4">
        <v>3.09</v>
      </c>
      <c r="AA221" s="4">
        <v>1.419</v>
      </c>
      <c r="AB221" s="4">
        <v>0.158</v>
      </c>
      <c r="AC221" s="67">
        <v>3.266</v>
      </c>
      <c r="AD221" s="23">
        <f t="shared" si="191"/>
        <v>98.825000000000017</v>
      </c>
      <c r="AE221" s="21">
        <f t="shared" si="192"/>
        <v>9.6253460000000004</v>
      </c>
      <c r="AF221" s="23">
        <f t="shared" si="193"/>
        <v>0.51446831484699962</v>
      </c>
      <c r="AH221" s="16">
        <f t="shared" si="194"/>
        <v>51.547211670276994</v>
      </c>
      <c r="AI221" s="16">
        <f t="shared" si="195"/>
        <v>1.2735587438127229</v>
      </c>
      <c r="AJ221" s="16">
        <f t="shared" si="196"/>
        <v>18.626189055975885</v>
      </c>
      <c r="AK221" s="16">
        <f t="shared" si="197"/>
        <v>3.4052260906874281</v>
      </c>
      <c r="AL221" s="16">
        <f t="shared" si="198"/>
        <v>7.0113751713601014</v>
      </c>
      <c r="AM221" s="16">
        <f t="shared" si="199"/>
        <v>0.11615860358521958</v>
      </c>
      <c r="AN221" s="16">
        <f t="shared" si="200"/>
        <v>5.9868772172165885</v>
      </c>
      <c r="AO221" s="16">
        <f t="shared" si="201"/>
        <v>7.1495097269749559</v>
      </c>
      <c r="AP221" s="16">
        <f t="shared" si="202"/>
        <v>3.2336043700750317</v>
      </c>
      <c r="AQ221" s="16">
        <f t="shared" si="203"/>
        <v>1.4849464728596991</v>
      </c>
      <c r="AR221" s="16">
        <f t="shared" si="204"/>
        <v>0.16534287717535762</v>
      </c>
      <c r="AS221" s="16">
        <f t="shared" si="205"/>
        <v>99.999999999999972</v>
      </c>
      <c r="AT221" s="16">
        <f t="shared" si="206"/>
        <v>10.072673426888098</v>
      </c>
      <c r="AV221" s="1" t="s">
        <v>402</v>
      </c>
      <c r="AY221" s="34">
        <v>47.642145493120182</v>
      </c>
      <c r="AZ221" s="34">
        <v>222.63933142731116</v>
      </c>
      <c r="BA221" s="6">
        <v>229</v>
      </c>
      <c r="BB221" s="34">
        <v>165.45821127311589</v>
      </c>
      <c r="BC221" s="6">
        <v>169</v>
      </c>
      <c r="BD221" s="34">
        <v>34.505866080469872</v>
      </c>
      <c r="BE221" s="34"/>
      <c r="BF221" s="34">
        <v>5.541938620734892</v>
      </c>
      <c r="BG221" s="6">
        <v>7</v>
      </c>
      <c r="BH221" s="34">
        <v>14.61830480855609</v>
      </c>
      <c r="BI221" s="6">
        <v>22</v>
      </c>
      <c r="BJ221" s="34">
        <v>112.84871103884096</v>
      </c>
      <c r="BK221" s="6">
        <v>110</v>
      </c>
      <c r="BN221" s="34">
        <v>26.819617210988312</v>
      </c>
      <c r="BO221" s="34"/>
      <c r="BP221" s="34">
        <v>142.19567369293034</v>
      </c>
      <c r="BQ221" s="1">
        <v>149</v>
      </c>
      <c r="BR221" s="34">
        <v>44.756358501261353</v>
      </c>
      <c r="BS221" s="1">
        <v>24</v>
      </c>
      <c r="BT221" s="34">
        <v>129.17293873911083</v>
      </c>
      <c r="BU221" s="1">
        <v>114</v>
      </c>
      <c r="BV221" s="34">
        <v>8.1112611015694007</v>
      </c>
      <c r="BW221" s="34"/>
      <c r="BZ221" s="34">
        <v>0.30822289122188051</v>
      </c>
      <c r="CA221" s="34">
        <v>292.36942787844237</v>
      </c>
      <c r="CB221" s="34">
        <v>19.114532428351637</v>
      </c>
      <c r="CC221" s="34">
        <v>40.370823049878695</v>
      </c>
      <c r="CD221" s="34">
        <v>4.5617873202837567</v>
      </c>
      <c r="CE221" s="34">
        <v>18.2957835443558</v>
      </c>
      <c r="CF221" s="34">
        <v>4.6691001190972194</v>
      </c>
      <c r="CG221" s="34">
        <v>1.2550402173741457</v>
      </c>
      <c r="CH221" s="34">
        <v>5.45</v>
      </c>
      <c r="CI221" s="34">
        <v>1.0113837520102698</v>
      </c>
      <c r="CJ221" s="34">
        <v>6.2022427613847704</v>
      </c>
      <c r="CK221" s="34">
        <v>1.4873417403956377</v>
      </c>
      <c r="CL221" s="34">
        <v>4.2509309767074539</v>
      </c>
      <c r="CM221" s="34">
        <v>0.61194574584943773</v>
      </c>
      <c r="CN221" s="34">
        <v>4.1268475812112753</v>
      </c>
      <c r="CO221" s="34">
        <v>0.64451572556917469</v>
      </c>
      <c r="CP221" s="34">
        <v>3.3797618019727502</v>
      </c>
      <c r="CQ221" s="34">
        <v>0.48774301355003075</v>
      </c>
      <c r="CR221" s="34">
        <v>6.6120207303645602</v>
      </c>
      <c r="CS221" s="34">
        <v>4.9338775714363301</v>
      </c>
      <c r="CT221" s="34">
        <v>1.1284809624305316</v>
      </c>
    </row>
    <row r="222" spans="1:98">
      <c r="A222" s="1" t="s">
        <v>289</v>
      </c>
      <c r="B222" s="1" t="s">
        <v>290</v>
      </c>
      <c r="C222" s="8" t="s">
        <v>397</v>
      </c>
      <c r="D222" s="63">
        <v>67.22</v>
      </c>
      <c r="E222" s="63">
        <v>2.93</v>
      </c>
      <c r="F222" s="1" t="s">
        <v>309</v>
      </c>
      <c r="G222" s="36" t="s">
        <v>298</v>
      </c>
      <c r="H222" s="36"/>
      <c r="I222" s="68">
        <f>1211.9+0.42</f>
        <v>1212.3200000000002</v>
      </c>
      <c r="J222" s="1" t="s">
        <v>256</v>
      </c>
      <c r="K222" s="1" t="s">
        <v>52</v>
      </c>
      <c r="L222" s="1" t="s">
        <v>864</v>
      </c>
      <c r="M222" s="78" t="s">
        <v>862</v>
      </c>
      <c r="N222" s="78"/>
      <c r="P222" s="1" t="s">
        <v>399</v>
      </c>
      <c r="Q222" s="1" t="s">
        <v>403</v>
      </c>
      <c r="R222" s="4">
        <v>46.798000000000002</v>
      </c>
      <c r="S222" s="4">
        <v>1.254</v>
      </c>
      <c r="T222" s="4">
        <v>17.535</v>
      </c>
      <c r="U222" s="4">
        <v>3.129</v>
      </c>
      <c r="V222" s="4">
        <v>9.5500000000000007</v>
      </c>
      <c r="W222" s="4">
        <v>0.161</v>
      </c>
      <c r="X222" s="4">
        <v>4.3380000000000001</v>
      </c>
      <c r="Y222" s="4">
        <v>6.3470000000000004</v>
      </c>
      <c r="Z222" s="4">
        <v>3.46</v>
      </c>
      <c r="AA222" s="4">
        <v>1.206</v>
      </c>
      <c r="AB222" s="4">
        <v>0.16</v>
      </c>
      <c r="AC222" s="67">
        <v>5.5030000000000001</v>
      </c>
      <c r="AD222" s="23">
        <f t="shared" si="191"/>
        <v>99.440999999999988</v>
      </c>
      <c r="AE222" s="21">
        <f t="shared" si="192"/>
        <v>12.362971000000002</v>
      </c>
      <c r="AF222" s="23">
        <f t="shared" si="193"/>
        <v>0.3848182162821478</v>
      </c>
      <c r="AH222" s="16">
        <f t="shared" si="194"/>
        <v>49.817965040771583</v>
      </c>
      <c r="AI222" s="16">
        <f t="shared" si="195"/>
        <v>1.3349230343418002</v>
      </c>
      <c r="AJ222" s="16">
        <f t="shared" si="196"/>
        <v>18.666567310353638</v>
      </c>
      <c r="AK222" s="16">
        <f t="shared" si="197"/>
        <v>3.3309203943026251</v>
      </c>
      <c r="AL222" s="16">
        <f t="shared" si="198"/>
        <v>10.166279886733806</v>
      </c>
      <c r="AM222" s="16">
        <f t="shared" si="199"/>
        <v>0.1713896399753029</v>
      </c>
      <c r="AN222" s="16">
        <f t="shared" si="200"/>
        <v>4.617939492005366</v>
      </c>
      <c r="AO222" s="16">
        <f t="shared" si="201"/>
        <v>6.7565841299580587</v>
      </c>
      <c r="AP222" s="16">
        <f t="shared" si="202"/>
        <v>3.6832804615810435</v>
      </c>
      <c r="AQ222" s="16">
        <f t="shared" si="203"/>
        <v>1.2838255019268028</v>
      </c>
      <c r="AR222" s="16">
        <f t="shared" si="204"/>
        <v>0.17032510804999043</v>
      </c>
      <c r="AS222" s="16">
        <f t="shared" si="205"/>
        <v>100.00000000000001</v>
      </c>
      <c r="AT222" s="16">
        <f t="shared" si="206"/>
        <v>13.160777321211865</v>
      </c>
      <c r="AV222" s="1" t="s">
        <v>402</v>
      </c>
      <c r="AY222" s="34">
        <v>44.300320028144142</v>
      </c>
      <c r="AZ222" s="34">
        <v>217.83139729541526</v>
      </c>
      <c r="BA222" s="6">
        <v>233</v>
      </c>
      <c r="BB222" s="34"/>
      <c r="BC222" s="6">
        <v>158</v>
      </c>
      <c r="BD222" s="34">
        <v>36.453797525705234</v>
      </c>
      <c r="BE222" s="34"/>
      <c r="BF222" s="34">
        <v>5.6035964169980153</v>
      </c>
      <c r="BG222" s="6">
        <v>8</v>
      </c>
      <c r="BH222" s="34">
        <v>15.163230275859668</v>
      </c>
      <c r="BI222" s="6">
        <v>22</v>
      </c>
      <c r="BJ222" s="34">
        <v>104.9377662739919</v>
      </c>
      <c r="BK222" s="6">
        <v>104</v>
      </c>
      <c r="BN222" s="34">
        <v>19.517606716193754</v>
      </c>
      <c r="BO222" s="34"/>
      <c r="BP222" s="34">
        <v>129.61895146120338</v>
      </c>
      <c r="BQ222" s="1">
        <v>139</v>
      </c>
      <c r="BR222" s="34">
        <v>41.309391508382042</v>
      </c>
      <c r="BS222" s="1">
        <v>29</v>
      </c>
      <c r="BT222" s="34">
        <v>132.77770680767233</v>
      </c>
      <c r="BU222" s="1">
        <v>132</v>
      </c>
      <c r="BV222" s="34">
        <v>8.5910498394865531</v>
      </c>
      <c r="BW222" s="34"/>
      <c r="BZ222" s="34">
        <v>0.305512370163115</v>
      </c>
      <c r="CA222" s="34">
        <v>246.36215239478449</v>
      </c>
      <c r="CB222" s="34">
        <v>17.876171094361535</v>
      </c>
      <c r="CC222" s="34">
        <v>38.387829138663115</v>
      </c>
      <c r="CD222" s="34"/>
      <c r="CE222" s="34"/>
      <c r="CF222" s="34"/>
      <c r="CG222" s="34"/>
      <c r="CH222" s="34"/>
      <c r="CI222" s="34"/>
      <c r="CJ222" s="34">
        <v>6.293923236103848</v>
      </c>
      <c r="CK222" s="34">
        <v>1.4313640728460946</v>
      </c>
      <c r="CL222" s="34"/>
      <c r="CM222" s="34">
        <v>0.61666024616452708</v>
      </c>
      <c r="CN222" s="34"/>
      <c r="CO222" s="34"/>
      <c r="CP222" s="34">
        <v>3.5075367573381939</v>
      </c>
      <c r="CQ222" s="34">
        <v>0.54889058543458225</v>
      </c>
      <c r="CR222" s="34">
        <v>7.1822247644878345</v>
      </c>
      <c r="CS222" s="34">
        <v>5.161673163571618</v>
      </c>
      <c r="CT222" s="34">
        <v>1.2100893180551984</v>
      </c>
    </row>
    <row r="223" spans="1:98">
      <c r="A223" s="1" t="s">
        <v>289</v>
      </c>
      <c r="B223" s="1" t="s">
        <v>290</v>
      </c>
      <c r="C223" s="35" t="s">
        <v>398</v>
      </c>
      <c r="D223" s="63">
        <v>67.22</v>
      </c>
      <c r="E223" s="63">
        <v>2.93</v>
      </c>
      <c r="F223" s="1" t="s">
        <v>309</v>
      </c>
      <c r="G223" s="1" t="s">
        <v>118</v>
      </c>
      <c r="I223" s="68">
        <f>1219.9+0.5</f>
        <v>1220.4000000000001</v>
      </c>
      <c r="J223" s="1" t="s">
        <v>310</v>
      </c>
      <c r="K223" s="1" t="s">
        <v>52</v>
      </c>
      <c r="L223" s="1" t="s">
        <v>864</v>
      </c>
      <c r="M223" s="78" t="s">
        <v>862</v>
      </c>
      <c r="N223" s="78"/>
      <c r="P223" s="1" t="s">
        <v>399</v>
      </c>
      <c r="Q223" s="1" t="s">
        <v>403</v>
      </c>
      <c r="R223" s="4">
        <v>52.454999999999998</v>
      </c>
      <c r="S223" s="4">
        <v>1.1839999999999999</v>
      </c>
      <c r="T223" s="4">
        <v>16.276</v>
      </c>
      <c r="U223" s="4">
        <v>3.964</v>
      </c>
      <c r="V223" s="4">
        <v>6.24</v>
      </c>
      <c r="W223" s="4">
        <v>0.26600000000000001</v>
      </c>
      <c r="X223" s="4">
        <v>3.38</v>
      </c>
      <c r="Y223" s="4">
        <v>7.734</v>
      </c>
      <c r="Z223" s="4">
        <v>2.78</v>
      </c>
      <c r="AA223" s="4">
        <v>1.07</v>
      </c>
      <c r="AB223" s="4">
        <v>0.14199999999999999</v>
      </c>
      <c r="AC223" s="67">
        <v>4.6050000000000004</v>
      </c>
      <c r="AD223" s="23">
        <f t="shared" si="191"/>
        <v>100.09599999999998</v>
      </c>
      <c r="AE223" s="21">
        <f t="shared" si="192"/>
        <v>9.8036360000000009</v>
      </c>
      <c r="AF223" s="23">
        <f t="shared" si="193"/>
        <v>0.3806637277295975</v>
      </c>
      <c r="AH223" s="16">
        <f t="shared" si="194"/>
        <v>54.931878396917007</v>
      </c>
      <c r="AI223" s="16">
        <f t="shared" si="195"/>
        <v>1.2399074258307068</v>
      </c>
      <c r="AJ223" s="16">
        <f t="shared" si="196"/>
        <v>17.044538228733604</v>
      </c>
      <c r="AK223" s="16">
        <f t="shared" si="197"/>
        <v>4.1511765506696978</v>
      </c>
      <c r="AL223" s="16">
        <f t="shared" si="198"/>
        <v>6.5346472442429153</v>
      </c>
      <c r="AM223" s="16">
        <f t="shared" si="199"/>
        <v>0.27856028316804737</v>
      </c>
      <c r="AN223" s="16">
        <f t="shared" si="200"/>
        <v>3.5396005906315788</v>
      </c>
      <c r="AO223" s="16">
        <f t="shared" si="201"/>
        <v>8.0991925940664586</v>
      </c>
      <c r="AP223" s="16">
        <f t="shared" si="202"/>
        <v>2.911269124838991</v>
      </c>
      <c r="AQ223" s="16">
        <f t="shared" si="203"/>
        <v>1.1205244473301152</v>
      </c>
      <c r="AR223" s="16">
        <f t="shared" si="204"/>
        <v>0.14870511357091248</v>
      </c>
      <c r="AS223" s="16">
        <f t="shared" si="205"/>
        <v>100.00000000000006</v>
      </c>
      <c r="AT223" s="16">
        <f t="shared" si="206"/>
        <v>10.266554963294974</v>
      </c>
      <c r="AV223" s="1" t="s">
        <v>402</v>
      </c>
      <c r="AY223" s="34"/>
      <c r="AZ223" s="34"/>
      <c r="BA223" s="6">
        <v>228</v>
      </c>
      <c r="BB223" s="34"/>
      <c r="BC223" s="6">
        <v>134</v>
      </c>
      <c r="BD223" s="34"/>
      <c r="BE223" s="34"/>
      <c r="BF223" s="34"/>
      <c r="BG223" s="6">
        <v>7</v>
      </c>
      <c r="BH223" s="34"/>
      <c r="BI223" s="6">
        <v>19</v>
      </c>
      <c r="BJ223" s="34"/>
      <c r="BK223" s="6">
        <v>111</v>
      </c>
      <c r="BN223" s="34"/>
      <c r="BO223" s="34"/>
      <c r="BP223" s="34"/>
      <c r="BQ223" s="1">
        <v>137</v>
      </c>
      <c r="BR223" s="34"/>
      <c r="BS223" s="1">
        <v>22</v>
      </c>
      <c r="BT223" s="34"/>
      <c r="BU223" s="1">
        <v>149</v>
      </c>
      <c r="BV223" s="34"/>
      <c r="BW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</row>
    <row r="224" spans="1:98">
      <c r="A224" s="56" t="s">
        <v>646</v>
      </c>
      <c r="C224" s="8"/>
      <c r="G224" s="36"/>
      <c r="H224" s="36"/>
      <c r="I224" s="4"/>
      <c r="L224" s="13"/>
      <c r="M224" s="13"/>
      <c r="N224" s="13"/>
      <c r="AC224" s="67"/>
      <c r="AD224" s="23"/>
      <c r="AF224" s="23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Y224" s="34"/>
      <c r="AZ224" s="34"/>
      <c r="BA224" s="6"/>
      <c r="BB224" s="34"/>
      <c r="BC224" s="6"/>
      <c r="BD224" s="34"/>
      <c r="BE224" s="34"/>
      <c r="BF224" s="34"/>
      <c r="BG224" s="6"/>
      <c r="BH224" s="34"/>
      <c r="BI224" s="6"/>
      <c r="BJ224" s="34"/>
      <c r="BK224" s="6"/>
      <c r="BN224" s="34"/>
      <c r="BO224" s="34"/>
      <c r="BP224" s="34"/>
      <c r="BQ224" s="1"/>
      <c r="BR224" s="34"/>
      <c r="BS224" s="1"/>
      <c r="BT224" s="34"/>
      <c r="BU224" s="1"/>
      <c r="BV224" s="34"/>
      <c r="BW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</row>
    <row r="225" spans="1:98">
      <c r="A225" s="1" t="s">
        <v>251</v>
      </c>
      <c r="B225" s="13">
        <v>338</v>
      </c>
      <c r="C225" s="1" t="s">
        <v>54</v>
      </c>
      <c r="D225" s="63">
        <v>67.785200000000003</v>
      </c>
      <c r="E225" s="63">
        <v>5.3876999999999997</v>
      </c>
      <c r="I225" s="68">
        <f>410+1.11</f>
        <v>411.11</v>
      </c>
      <c r="J225" s="1" t="s">
        <v>256</v>
      </c>
      <c r="K225" s="1" t="s">
        <v>52</v>
      </c>
      <c r="L225" s="1" t="s">
        <v>864</v>
      </c>
      <c r="M225" s="78" t="s">
        <v>862</v>
      </c>
      <c r="N225" s="78"/>
      <c r="O225" s="7" t="s">
        <v>53</v>
      </c>
      <c r="P225" s="1" t="s">
        <v>262</v>
      </c>
      <c r="Q225" s="1" t="s">
        <v>261</v>
      </c>
      <c r="R225" s="4">
        <v>47.972614600000007</v>
      </c>
      <c r="S225" s="4">
        <v>1.1097569</v>
      </c>
      <c r="T225" s="4">
        <v>16.080150999999997</v>
      </c>
      <c r="U225" s="4">
        <v>4.8862432</v>
      </c>
      <c r="V225" s="4">
        <v>4.93</v>
      </c>
      <c r="W225" s="4">
        <v>0.13391920000000002</v>
      </c>
      <c r="X225" s="4">
        <v>8.2744341000000006</v>
      </c>
      <c r="Y225" s="4">
        <v>11.7366393</v>
      </c>
      <c r="Z225" s="4">
        <v>2.3160143999999998</v>
      </c>
      <c r="AA225" s="4">
        <v>0.1417968</v>
      </c>
      <c r="AB225" s="4">
        <v>8.9607699999999998E-2</v>
      </c>
      <c r="AC225" s="9">
        <v>2.0787089999999999</v>
      </c>
      <c r="AD225" s="23">
        <f t="shared" ref="AD225:AD232" si="207">SUM(R225:AB225)+AC225</f>
        <v>99.749886199999992</v>
      </c>
      <c r="AE225" s="21">
        <f t="shared" ref="AE225:AE232" si="208">V225+0.899*U225</f>
        <v>9.3227326367999996</v>
      </c>
      <c r="AF225" s="23">
        <f t="shared" ref="AF225:AF232" si="209">(X225/40.3)/((X225/40.3)+(AE225/71.844))</f>
        <v>0.61274379130587742</v>
      </c>
      <c r="AG225" s="44"/>
      <c r="AH225" s="16">
        <f t="shared" ref="AH225:AR232" si="210">100*R225/SUM($R225:$AB225)</f>
        <v>49.116449678667344</v>
      </c>
      <c r="AI225" s="16">
        <f t="shared" si="210"/>
        <v>1.1362173896272032</v>
      </c>
      <c r="AJ225" s="16">
        <f t="shared" si="210"/>
        <v>16.463558094598248</v>
      </c>
      <c r="AK225" s="16">
        <f t="shared" si="210"/>
        <v>5.0027483440631659</v>
      </c>
      <c r="AL225" s="16">
        <f t="shared" si="210"/>
        <v>5.0475484593626874</v>
      </c>
      <c r="AM225" s="16">
        <f t="shared" si="210"/>
        <v>0.13711230256370868</v>
      </c>
      <c r="AN225" s="16">
        <f t="shared" si="210"/>
        <v>8.4717255767856177</v>
      </c>
      <c r="AO225" s="16">
        <f t="shared" si="210"/>
        <v>12.016481869535612</v>
      </c>
      <c r="AP225" s="16">
        <f t="shared" si="210"/>
        <v>2.3712362913959022</v>
      </c>
      <c r="AQ225" s="16">
        <f t="shared" si="210"/>
        <v>0.14517773212627974</v>
      </c>
      <c r="AR225" s="16">
        <f t="shared" si="210"/>
        <v>9.174426127424623E-2</v>
      </c>
      <c r="AS225" s="16">
        <f t="shared" ref="AS225:AS232" si="211">SUM(AH225:AR225)</f>
        <v>100.00000000000001</v>
      </c>
      <c r="AT225" s="16">
        <f t="shared" ref="AT225:AT232" si="212">AL225+0.899*AK225</f>
        <v>9.5450192206754743</v>
      </c>
      <c r="AU225" s="44"/>
      <c r="AV225" s="1" t="s">
        <v>261</v>
      </c>
      <c r="AY225" s="69"/>
      <c r="AZ225" s="69">
        <v>275.7</v>
      </c>
      <c r="BA225" s="69"/>
      <c r="BB225" s="69"/>
      <c r="BC225" s="69">
        <v>344.64499999999998</v>
      </c>
      <c r="BD225" s="69"/>
      <c r="BE225" s="69"/>
      <c r="BF225" s="69"/>
      <c r="BG225" s="69">
        <v>90.592399999999998</v>
      </c>
      <c r="BH225" s="69">
        <v>45.296199999999999</v>
      </c>
      <c r="BI225" s="69"/>
      <c r="BJ225" s="69">
        <v>71.883099999999999</v>
      </c>
      <c r="BK225" s="69"/>
      <c r="BL225" s="69"/>
      <c r="BN225" s="69"/>
      <c r="BO225" s="69"/>
      <c r="BP225" s="69"/>
      <c r="BQ225" s="69">
        <v>148.68969999999999</v>
      </c>
      <c r="BR225" s="69"/>
      <c r="BS225" s="69">
        <v>19</v>
      </c>
      <c r="BT225" s="69"/>
      <c r="BU225" s="69">
        <v>47.265599999999992</v>
      </c>
      <c r="BV225" s="69"/>
      <c r="CA225" s="9">
        <v>29.7</v>
      </c>
    </row>
    <row r="226" spans="1:98">
      <c r="A226" s="1" t="s">
        <v>251</v>
      </c>
      <c r="B226" s="13">
        <v>338</v>
      </c>
      <c r="C226" s="1" t="s">
        <v>55</v>
      </c>
      <c r="D226" s="63">
        <v>67.785200000000003</v>
      </c>
      <c r="E226" s="63">
        <v>5.3876999999999997</v>
      </c>
      <c r="I226" s="68">
        <f>411.5+0.1</f>
        <v>411.6</v>
      </c>
      <c r="J226" s="1" t="s">
        <v>256</v>
      </c>
      <c r="K226" s="1" t="s">
        <v>52</v>
      </c>
      <c r="L226" s="1" t="s">
        <v>864</v>
      </c>
      <c r="M226" s="78" t="s">
        <v>862</v>
      </c>
      <c r="N226" s="78"/>
      <c r="O226" s="7" t="s">
        <v>53</v>
      </c>
      <c r="P226" s="1" t="s">
        <v>262</v>
      </c>
      <c r="Q226" s="1" t="s">
        <v>261</v>
      </c>
      <c r="R226" s="4">
        <v>48.096919499999991</v>
      </c>
      <c r="S226" s="4">
        <v>1.1036697</v>
      </c>
      <c r="T226" s="4">
        <v>15.7837589</v>
      </c>
      <c r="U226" s="4">
        <v>4.6428864999999986</v>
      </c>
      <c r="V226" s="4">
        <v>5.1100000000000003</v>
      </c>
      <c r="W226" s="4">
        <v>0.13216419999999998</v>
      </c>
      <c r="X226" s="4">
        <v>8.0028381999999993</v>
      </c>
      <c r="Y226" s="4">
        <v>12.476694999999999</v>
      </c>
      <c r="Z226" s="4">
        <v>2.2625721999999997</v>
      </c>
      <c r="AA226" s="4">
        <v>0.13906829999999998</v>
      </c>
      <c r="AB226" s="4">
        <v>9.369849999999999E-2</v>
      </c>
      <c r="AC226" s="9">
        <v>1.9387430000000001</v>
      </c>
      <c r="AD226" s="23">
        <f t="shared" si="207"/>
        <v>99.783013999999994</v>
      </c>
      <c r="AE226" s="21">
        <f t="shared" si="208"/>
        <v>9.2839549634999994</v>
      </c>
      <c r="AF226" s="23">
        <f t="shared" si="209"/>
        <v>0.60579110329271091</v>
      </c>
      <c r="AG226" s="44"/>
      <c r="AH226" s="16">
        <f t="shared" si="210"/>
        <v>49.15660263849275</v>
      </c>
      <c r="AI226" s="16">
        <f t="shared" si="210"/>
        <v>1.1279860217876221</v>
      </c>
      <c r="AJ226" s="16">
        <f t="shared" si="210"/>
        <v>16.131510551087864</v>
      </c>
      <c r="AK226" s="16">
        <f t="shared" si="210"/>
        <v>4.7451797152231823</v>
      </c>
      <c r="AL226" s="16">
        <f t="shared" si="210"/>
        <v>5.2225847745342202</v>
      </c>
      <c r="AM226" s="16">
        <f t="shared" si="210"/>
        <v>0.1350760741014668</v>
      </c>
      <c r="AN226" s="16">
        <f t="shared" si="210"/>
        <v>8.1791586959649383</v>
      </c>
      <c r="AO226" s="16">
        <f t="shared" si="210"/>
        <v>12.751584607339964</v>
      </c>
      <c r="AP226" s="16">
        <f t="shared" si="210"/>
        <v>2.3124217461848122</v>
      </c>
      <c r="AQ226" s="16">
        <f t="shared" si="210"/>
        <v>0.14213228692766283</v>
      </c>
      <c r="AR226" s="16">
        <f t="shared" si="210"/>
        <v>9.5762888355517523E-2</v>
      </c>
      <c r="AS226" s="16">
        <f t="shared" si="211"/>
        <v>100.00000000000001</v>
      </c>
      <c r="AT226" s="16">
        <f t="shared" si="212"/>
        <v>9.4885013385198604</v>
      </c>
      <c r="AU226" s="44"/>
      <c r="AV226" s="1" t="s">
        <v>261</v>
      </c>
      <c r="AY226" s="69">
        <v>39.982982783969383</v>
      </c>
      <c r="AZ226" s="69">
        <v>270.8</v>
      </c>
      <c r="BA226" s="69"/>
      <c r="BB226" s="69">
        <v>306.75559309427359</v>
      </c>
      <c r="BC226" s="69">
        <v>347.17759999999993</v>
      </c>
      <c r="BD226" s="69">
        <v>43.094608499329084</v>
      </c>
      <c r="BE226" s="69"/>
      <c r="BF226" s="69">
        <v>86.041829334464524</v>
      </c>
      <c r="BG226" s="69">
        <v>90.739599999999996</v>
      </c>
      <c r="BH226" s="69">
        <v>84.821799999999996</v>
      </c>
      <c r="BI226" s="69"/>
      <c r="BJ226" s="69">
        <v>72.986199999999997</v>
      </c>
      <c r="BK226" s="69"/>
      <c r="BL226" s="69"/>
      <c r="BN226" s="69">
        <v>3.1291247035648952</v>
      </c>
      <c r="BO226" s="69"/>
      <c r="BP226" s="69">
        <v>153.63522812708632</v>
      </c>
      <c r="BQ226" s="69">
        <v>152.87649999999999</v>
      </c>
      <c r="BR226" s="69">
        <v>19.507284835168058</v>
      </c>
      <c r="BS226" s="69">
        <v>18.7</v>
      </c>
      <c r="BT226" s="69">
        <v>56.97091775971014</v>
      </c>
      <c r="BU226" s="69">
        <v>48.328699999999998</v>
      </c>
      <c r="BV226" s="69">
        <v>5.9524809573915034</v>
      </c>
      <c r="CA226" s="9">
        <v>31.7</v>
      </c>
      <c r="CB226" s="9">
        <v>4.4779943555136406</v>
      </c>
      <c r="CC226" s="9">
        <v>11.622783169396325</v>
      </c>
      <c r="CD226" s="9">
        <v>1.931503740489634</v>
      </c>
      <c r="CE226" s="9">
        <v>9.290739110841292</v>
      </c>
      <c r="CF226" s="9">
        <v>2.7568355624269372</v>
      </c>
      <c r="CG226" s="9">
        <v>1.0806138980132398</v>
      </c>
      <c r="CH226" s="9">
        <v>3.3931285988654842</v>
      </c>
      <c r="CI226" s="9">
        <v>0.59532273284953396</v>
      </c>
      <c r="CJ226" s="9">
        <v>3.857365414082063</v>
      </c>
      <c r="CK226" s="9">
        <v>0.82656980104994104</v>
      </c>
      <c r="CL226" s="9">
        <v>2.3601081722906407</v>
      </c>
      <c r="CM226" s="9">
        <v>0.35732872088291789</v>
      </c>
      <c r="CN226" s="9">
        <v>2.2834692213611629</v>
      </c>
      <c r="CO226" s="9">
        <v>0.33393557792291834</v>
      </c>
      <c r="CP226" s="9">
        <v>1.7269216738073807</v>
      </c>
      <c r="CQ226" s="9">
        <v>0.23551138739949756</v>
      </c>
      <c r="CR226" s="9">
        <v>0.2920191290221969</v>
      </c>
      <c r="CS226" s="9">
        <v>0.37136758745557308</v>
      </c>
      <c r="CT226" s="9">
        <v>9.7553303111415052E-2</v>
      </c>
    </row>
    <row r="227" spans="1:98">
      <c r="A227" s="1" t="s">
        <v>251</v>
      </c>
      <c r="B227" s="13">
        <v>338</v>
      </c>
      <c r="C227" s="1" t="s">
        <v>56</v>
      </c>
      <c r="D227" s="63">
        <v>67.785200000000003</v>
      </c>
      <c r="E227" s="63">
        <v>5.3876999999999997</v>
      </c>
      <c r="I227" s="68">
        <f>413+0.89</f>
        <v>413.89</v>
      </c>
      <c r="J227" s="1" t="s">
        <v>256</v>
      </c>
      <c r="K227" s="1" t="s">
        <v>52</v>
      </c>
      <c r="L227" s="1" t="s">
        <v>864</v>
      </c>
      <c r="M227" s="78" t="s">
        <v>862</v>
      </c>
      <c r="N227" s="78"/>
      <c r="O227" s="7" t="s">
        <v>53</v>
      </c>
      <c r="P227" s="1" t="s">
        <v>262</v>
      </c>
      <c r="Q227" s="1" t="s">
        <v>261</v>
      </c>
      <c r="R227" s="4">
        <v>48.483643499999999</v>
      </c>
      <c r="S227" s="4">
        <v>1.1392379999999998</v>
      </c>
      <c r="T227" s="4">
        <v>16.754485500000001</v>
      </c>
      <c r="U227" s="4">
        <v>4.301833499999999</v>
      </c>
      <c r="V227" s="4">
        <v>4.95</v>
      </c>
      <c r="W227" s="4">
        <v>0.16359300000000002</v>
      </c>
      <c r="X227" s="4">
        <v>8.3540834999999998</v>
      </c>
      <c r="Y227" s="4">
        <v>11.788551</v>
      </c>
      <c r="Z227" s="4">
        <v>2.284389</v>
      </c>
      <c r="AA227" s="4">
        <v>0.10446299999999999</v>
      </c>
      <c r="AB227" s="4">
        <v>0.1054485</v>
      </c>
      <c r="AC227" s="9">
        <v>2.0009350000000001</v>
      </c>
      <c r="AD227" s="23">
        <f t="shared" si="207"/>
        <v>100.43066349999999</v>
      </c>
      <c r="AE227" s="21">
        <f t="shared" si="208"/>
        <v>8.8173483164999986</v>
      </c>
      <c r="AF227" s="23">
        <f t="shared" si="209"/>
        <v>0.62812348138506358</v>
      </c>
      <c r="AG227" s="44"/>
      <c r="AH227" s="16">
        <f t="shared" si="210"/>
        <v>49.257113921633952</v>
      </c>
      <c r="AI227" s="16">
        <f t="shared" si="210"/>
        <v>1.157412518922065</v>
      </c>
      <c r="AJ227" s="16">
        <f t="shared" si="210"/>
        <v>17.021773558991377</v>
      </c>
      <c r="AK227" s="16">
        <f t="shared" si="210"/>
        <v>4.3704616131294109</v>
      </c>
      <c r="AL227" s="16">
        <f t="shared" si="210"/>
        <v>5.0289684584469825</v>
      </c>
      <c r="AM227" s="16">
        <f t="shared" si="210"/>
        <v>0.1662028357621651</v>
      </c>
      <c r="AN227" s="16">
        <f t="shared" si="210"/>
        <v>8.4873580647944173</v>
      </c>
      <c r="AO227" s="16">
        <f t="shared" si="210"/>
        <v>11.976616393897704</v>
      </c>
      <c r="AP227" s="16">
        <f t="shared" si="210"/>
        <v>2.320832369257221</v>
      </c>
      <c r="AQ227" s="16">
        <f t="shared" si="210"/>
        <v>0.10612952163126203</v>
      </c>
      <c r="AR227" s="16">
        <f t="shared" si="210"/>
        <v>0.10713074353344376</v>
      </c>
      <c r="AS227" s="16">
        <f t="shared" si="211"/>
        <v>100</v>
      </c>
      <c r="AT227" s="16">
        <f t="shared" si="212"/>
        <v>8.9580134486503233</v>
      </c>
      <c r="AU227" s="44"/>
      <c r="AV227" s="1" t="s">
        <v>261</v>
      </c>
      <c r="AY227" s="69"/>
      <c r="AZ227" s="69">
        <v>298.8</v>
      </c>
      <c r="BA227" s="69"/>
      <c r="BB227" s="69"/>
      <c r="BC227" s="69">
        <v>348.86699999999996</v>
      </c>
      <c r="BD227" s="69"/>
      <c r="BE227" s="69"/>
      <c r="BF227" s="69"/>
      <c r="BG227" s="69">
        <v>94.60799999999999</v>
      </c>
      <c r="BH227" s="69">
        <v>119.24549999999999</v>
      </c>
      <c r="BI227" s="69"/>
      <c r="BJ227" s="69">
        <v>72.926999999999992</v>
      </c>
      <c r="BK227" s="69"/>
      <c r="BL227" s="69"/>
      <c r="BN227" s="69"/>
      <c r="BO227" s="69"/>
      <c r="BP227" s="69"/>
      <c r="BQ227" s="69">
        <v>157.68</v>
      </c>
      <c r="BR227" s="69"/>
      <c r="BS227" s="69">
        <v>18.5</v>
      </c>
      <c r="BT227" s="69"/>
      <c r="BU227" s="69">
        <v>53.216999999999999</v>
      </c>
      <c r="BV227" s="69"/>
      <c r="CA227" s="9">
        <v>34.9</v>
      </c>
    </row>
    <row r="228" spans="1:98">
      <c r="A228" s="1" t="s">
        <v>251</v>
      </c>
      <c r="B228" s="13">
        <v>338</v>
      </c>
      <c r="C228" s="1" t="s">
        <v>57</v>
      </c>
      <c r="D228" s="63">
        <v>67.785200000000003</v>
      </c>
      <c r="E228" s="63">
        <v>5.3876999999999997</v>
      </c>
      <c r="I228" s="68">
        <f>419.5+0.73</f>
        <v>420.23</v>
      </c>
      <c r="J228" s="1" t="s">
        <v>256</v>
      </c>
      <c r="K228" s="1" t="s">
        <v>52</v>
      </c>
      <c r="L228" s="1" t="s">
        <v>864</v>
      </c>
      <c r="M228" s="78" t="s">
        <v>862</v>
      </c>
      <c r="N228" s="78"/>
      <c r="O228" s="7" t="s">
        <v>53</v>
      </c>
      <c r="P228" s="1" t="s">
        <v>262</v>
      </c>
      <c r="Q228" s="1" t="s">
        <v>261</v>
      </c>
      <c r="R228" s="4">
        <v>47.258529499999995</v>
      </c>
      <c r="S228" s="4">
        <v>1.1221291999999998</v>
      </c>
      <c r="T228" s="4">
        <v>15.043908599999998</v>
      </c>
      <c r="U228" s="4">
        <v>6.0828937000000005</v>
      </c>
      <c r="V228" s="4">
        <v>5.14</v>
      </c>
      <c r="W228" s="4">
        <v>0.19802279999999997</v>
      </c>
      <c r="X228" s="4">
        <v>9.5254791000000001</v>
      </c>
      <c r="Y228" s="4">
        <v>9.7225311999999988</v>
      </c>
      <c r="Z228" s="4">
        <v>2.4102481</v>
      </c>
      <c r="AA228" s="4">
        <v>0.20675909999999997</v>
      </c>
      <c r="AB228" s="4">
        <v>7.5714599999999993E-2</v>
      </c>
      <c r="AC228" s="9">
        <v>3.5020820000000001</v>
      </c>
      <c r="AD228" s="23">
        <f t="shared" si="207"/>
        <v>100.28829789999999</v>
      </c>
      <c r="AE228" s="21">
        <f t="shared" si="208"/>
        <v>10.6085214363</v>
      </c>
      <c r="AF228" s="23">
        <f t="shared" si="209"/>
        <v>0.61549221571511281</v>
      </c>
      <c r="AG228" s="44"/>
      <c r="AH228" s="16">
        <f t="shared" si="210"/>
        <v>48.827747898345102</v>
      </c>
      <c r="AI228" s="16">
        <f t="shared" si="210"/>
        <v>1.159389474591495</v>
      </c>
      <c r="AJ228" s="16">
        <f t="shared" si="210"/>
        <v>15.543441243269022</v>
      </c>
      <c r="AK228" s="16">
        <f t="shared" si="210"/>
        <v>6.2848760471066223</v>
      </c>
      <c r="AL228" s="16">
        <f t="shared" si="210"/>
        <v>5.3106735832204395</v>
      </c>
      <c r="AM228" s="16">
        <f t="shared" si="210"/>
        <v>0.20459814257496969</v>
      </c>
      <c r="AN228" s="16">
        <f t="shared" si="210"/>
        <v>9.8417724170989125</v>
      </c>
      <c r="AO228" s="16">
        <f t="shared" si="210"/>
        <v>10.045367627602435</v>
      </c>
      <c r="AP228" s="16">
        <f t="shared" si="210"/>
        <v>2.4902803334002446</v>
      </c>
      <c r="AQ228" s="16">
        <f t="shared" si="210"/>
        <v>0.21362453121798308</v>
      </c>
      <c r="AR228" s="16">
        <f t="shared" si="210"/>
        <v>7.8228701572782541E-2</v>
      </c>
      <c r="AS228" s="16">
        <f t="shared" si="211"/>
        <v>100</v>
      </c>
      <c r="AT228" s="16">
        <f t="shared" si="212"/>
        <v>10.960777149569292</v>
      </c>
      <c r="AU228" s="44"/>
      <c r="AV228" s="1" t="s">
        <v>261</v>
      </c>
      <c r="AY228" s="69">
        <v>44.338123173358333</v>
      </c>
      <c r="AZ228" s="69">
        <v>348.7</v>
      </c>
      <c r="BA228" s="69"/>
      <c r="BB228" s="69">
        <v>188.1382327840598</v>
      </c>
      <c r="BC228" s="69">
        <v>225.20239999999998</v>
      </c>
      <c r="BD228" s="69">
        <v>49.285440804292122</v>
      </c>
      <c r="BE228" s="69"/>
      <c r="BF228" s="69">
        <v>74.571185591152229</v>
      </c>
      <c r="BG228" s="69">
        <v>82.509499999999989</v>
      </c>
      <c r="BH228" s="69">
        <v>345.56919999999997</v>
      </c>
      <c r="BI228" s="69"/>
      <c r="BJ228" s="69">
        <v>60.183399999999992</v>
      </c>
      <c r="BK228" s="69"/>
      <c r="BL228" s="69"/>
      <c r="BN228" s="69">
        <v>2.0956854176919153</v>
      </c>
      <c r="BO228" s="69"/>
      <c r="BP228" s="69">
        <v>127.35761766281549</v>
      </c>
      <c r="BQ228" s="69">
        <v>123.27889999999999</v>
      </c>
      <c r="BR228" s="69">
        <v>19.758089828938989</v>
      </c>
      <c r="BS228" s="69">
        <v>19.8</v>
      </c>
      <c r="BT228" s="69">
        <v>57.741315133989815</v>
      </c>
      <c r="BU228" s="69">
        <v>51.447099999999999</v>
      </c>
      <c r="BV228" s="69">
        <v>5.9121241765652508</v>
      </c>
      <c r="CA228" s="9">
        <v>9.4</v>
      </c>
      <c r="CB228" s="9">
        <v>4.3740135237071733</v>
      </c>
      <c r="CC228" s="9">
        <v>11.716172837221881</v>
      </c>
      <c r="CD228" s="9">
        <v>1.9697022122450321</v>
      </c>
      <c r="CE228" s="9">
        <v>9.4757740765063065</v>
      </c>
      <c r="CF228" s="9">
        <v>2.9303796203816752</v>
      </c>
      <c r="CG228" s="9">
        <v>1.13352300631105</v>
      </c>
      <c r="CH228" s="9">
        <v>3.6101154288903361</v>
      </c>
      <c r="CI228" s="9">
        <v>0.66037057573533442</v>
      </c>
      <c r="CJ228" s="9">
        <v>4.3688517505082194</v>
      </c>
      <c r="CK228" s="9">
        <v>0.94586489422895836</v>
      </c>
      <c r="CL228" s="9">
        <v>2.7595742869591313</v>
      </c>
      <c r="CM228" s="9">
        <v>0.42434620442155646</v>
      </c>
      <c r="CN228" s="9">
        <v>2.7122434731576508</v>
      </c>
      <c r="CO228" s="9">
        <v>0.39775860964695381</v>
      </c>
      <c r="CP228" s="9">
        <v>1.8544882721073765</v>
      </c>
      <c r="CQ228" s="9">
        <v>0.25023829552363697</v>
      </c>
      <c r="CR228" s="9">
        <v>0.17115207393545195</v>
      </c>
      <c r="CS228" s="9">
        <v>0.41273819047774352</v>
      </c>
      <c r="CT228" s="9">
        <v>0.11585835093014786</v>
      </c>
    </row>
    <row r="229" spans="1:98">
      <c r="A229" s="1" t="s">
        <v>251</v>
      </c>
      <c r="B229" s="13">
        <v>338</v>
      </c>
      <c r="C229" s="1" t="s">
        <v>58</v>
      </c>
      <c r="D229" s="63">
        <v>67.785200000000003</v>
      </c>
      <c r="E229" s="63">
        <v>5.3876999999999997</v>
      </c>
      <c r="I229" s="68">
        <f>421+0.29</f>
        <v>421.29</v>
      </c>
      <c r="J229" s="1" t="s">
        <v>256</v>
      </c>
      <c r="K229" s="1" t="s">
        <v>52</v>
      </c>
      <c r="L229" s="1" t="s">
        <v>864</v>
      </c>
      <c r="M229" s="78" t="s">
        <v>862</v>
      </c>
      <c r="N229" s="78"/>
      <c r="O229" s="7" t="s">
        <v>53</v>
      </c>
      <c r="P229" s="1" t="s">
        <v>262</v>
      </c>
      <c r="Q229" s="1" t="s">
        <v>261</v>
      </c>
      <c r="R229" s="4">
        <v>47.669796900000001</v>
      </c>
      <c r="S229" s="4">
        <v>1.1554361</v>
      </c>
      <c r="T229" s="4">
        <v>15.466044500000001</v>
      </c>
      <c r="U229" s="4">
        <v>5.3979436999999999</v>
      </c>
      <c r="V229" s="4">
        <v>4.53</v>
      </c>
      <c r="W229" s="4">
        <v>0.24710509999999999</v>
      </c>
      <c r="X229" s="4">
        <v>8.7131406999999985</v>
      </c>
      <c r="Y229" s="4">
        <v>11.243770400000001</v>
      </c>
      <c r="Z229" s="4">
        <v>2.4720276999999999</v>
      </c>
      <c r="AA229" s="4">
        <v>0.14162149999999998</v>
      </c>
      <c r="AB229" s="4">
        <v>9.2786500000000008E-2</v>
      </c>
      <c r="AC229" s="9">
        <v>2.8341890000000003</v>
      </c>
      <c r="AD229" s="23">
        <f t="shared" si="207"/>
        <v>99.9638621</v>
      </c>
      <c r="AE229" s="21">
        <f t="shared" si="208"/>
        <v>9.3827513863000007</v>
      </c>
      <c r="AF229" s="23">
        <f t="shared" si="209"/>
        <v>0.62342351176994237</v>
      </c>
      <c r="AG229" s="44"/>
      <c r="AH229" s="16">
        <f t="shared" si="210"/>
        <v>49.078510591630931</v>
      </c>
      <c r="AI229" s="16">
        <f t="shared" si="210"/>
        <v>1.189580962359895</v>
      </c>
      <c r="AJ229" s="16">
        <f t="shared" si="210"/>
        <v>15.923089212991492</v>
      </c>
      <c r="AK229" s="16">
        <f t="shared" si="210"/>
        <v>5.5574609979820879</v>
      </c>
      <c r="AL229" s="16">
        <f t="shared" si="210"/>
        <v>4.6638682654024084</v>
      </c>
      <c r="AM229" s="16">
        <f t="shared" si="210"/>
        <v>0.25440742474814321</v>
      </c>
      <c r="AN229" s="16">
        <f t="shared" si="210"/>
        <v>8.9706270204671359</v>
      </c>
      <c r="AO229" s="16">
        <f t="shared" si="210"/>
        <v>11.576040607512351</v>
      </c>
      <c r="AP229" s="16">
        <f t="shared" si="210"/>
        <v>2.5450798104251002</v>
      </c>
      <c r="AQ229" s="16">
        <f t="shared" si="210"/>
        <v>0.14580662683193976</v>
      </c>
      <c r="AR229" s="16">
        <f t="shared" si="210"/>
        <v>9.5528479648512271E-2</v>
      </c>
      <c r="AS229" s="16">
        <f t="shared" si="211"/>
        <v>99.999999999999986</v>
      </c>
      <c r="AT229" s="16">
        <f t="shared" si="212"/>
        <v>9.6600257025883067</v>
      </c>
      <c r="AU229" s="44"/>
      <c r="AV229" s="1" t="s">
        <v>261</v>
      </c>
      <c r="AY229" s="69"/>
      <c r="AZ229" s="69">
        <v>341.9</v>
      </c>
      <c r="BA229" s="69"/>
      <c r="BB229" s="69"/>
      <c r="BC229" s="69">
        <v>245.15170000000001</v>
      </c>
      <c r="BD229" s="69"/>
      <c r="BE229" s="69"/>
      <c r="BF229" s="69"/>
      <c r="BG229" s="69">
        <v>83.019500000000008</v>
      </c>
      <c r="BH229" s="69">
        <v>144.55160000000001</v>
      </c>
      <c r="BI229" s="69"/>
      <c r="BJ229" s="69">
        <v>77.159300000000002</v>
      </c>
      <c r="BK229" s="69"/>
      <c r="BL229" s="69"/>
      <c r="BN229" s="69"/>
      <c r="BO229" s="69"/>
      <c r="BP229" s="69"/>
      <c r="BQ229" s="69">
        <v>136.738</v>
      </c>
      <c r="BR229" s="69"/>
      <c r="BS229" s="69">
        <v>20.6</v>
      </c>
      <c r="BT229" s="69"/>
      <c r="BU229" s="69">
        <v>52.741800000000005</v>
      </c>
      <c r="BV229" s="69"/>
      <c r="CA229" s="9">
        <v>18.899999999999999</v>
      </c>
    </row>
    <row r="230" spans="1:98">
      <c r="A230" s="1" t="s">
        <v>251</v>
      </c>
      <c r="B230" s="13">
        <v>338</v>
      </c>
      <c r="C230" s="1" t="s">
        <v>59</v>
      </c>
      <c r="D230" s="63">
        <v>67.785200000000003</v>
      </c>
      <c r="E230" s="63">
        <v>5.3876999999999997</v>
      </c>
      <c r="I230" s="68">
        <f>427.5+1.22</f>
        <v>428.72</v>
      </c>
      <c r="J230" s="1" t="s">
        <v>256</v>
      </c>
      <c r="K230" s="1" t="s">
        <v>52</v>
      </c>
      <c r="L230" s="1" t="s">
        <v>864</v>
      </c>
      <c r="M230" s="78" t="s">
        <v>862</v>
      </c>
      <c r="N230" s="78"/>
      <c r="O230" s="7" t="s">
        <v>53</v>
      </c>
      <c r="P230" s="1" t="s">
        <v>262</v>
      </c>
      <c r="Q230" s="1" t="s">
        <v>261</v>
      </c>
      <c r="R230" s="4">
        <v>49.025590199999996</v>
      </c>
      <c r="S230" s="4">
        <v>1.1482883999999998</v>
      </c>
      <c r="T230" s="4">
        <v>14.988029399999999</v>
      </c>
      <c r="U230" s="4">
        <v>4.8674973999999995</v>
      </c>
      <c r="V230" s="4">
        <v>5.51</v>
      </c>
      <c r="W230" s="4">
        <v>0.24210899999999999</v>
      </c>
      <c r="X230" s="4">
        <v>8.0923697999999984</v>
      </c>
      <c r="Y230" s="4">
        <v>12.249727200000001</v>
      </c>
      <c r="Z230" s="4">
        <v>2.3617979999999998</v>
      </c>
      <c r="AA230" s="4">
        <v>0.13044240000000001</v>
      </c>
      <c r="AB230" s="4">
        <v>9.7831799999999997E-2</v>
      </c>
      <c r="AC230" s="9">
        <v>1.7932630000000001</v>
      </c>
      <c r="AD230" s="23">
        <f t="shared" si="207"/>
        <v>100.50694659999999</v>
      </c>
      <c r="AE230" s="21">
        <f t="shared" si="208"/>
        <v>9.8858801625999995</v>
      </c>
      <c r="AF230" s="23">
        <f t="shared" si="209"/>
        <v>0.5933809271863949</v>
      </c>
      <c r="AG230" s="44"/>
      <c r="AH230" s="16">
        <f t="shared" si="210"/>
        <v>49.664431932919989</v>
      </c>
      <c r="AI230" s="16">
        <f t="shared" si="210"/>
        <v>1.1632514947502168</v>
      </c>
      <c r="AJ230" s="16">
        <f t="shared" si="210"/>
        <v>15.183335129842119</v>
      </c>
      <c r="AK230" s="16">
        <f t="shared" si="210"/>
        <v>4.9309246929976789</v>
      </c>
      <c r="AL230" s="16">
        <f t="shared" si="210"/>
        <v>5.5817996037177569</v>
      </c>
      <c r="AM230" s="16">
        <f t="shared" si="210"/>
        <v>0.2452638693750458</v>
      </c>
      <c r="AN230" s="16">
        <f t="shared" si="210"/>
        <v>8.1978196992336709</v>
      </c>
      <c r="AO230" s="16">
        <f t="shared" si="210"/>
        <v>12.40935071335946</v>
      </c>
      <c r="AP230" s="16">
        <f t="shared" si="210"/>
        <v>2.3925740726790181</v>
      </c>
      <c r="AQ230" s="16">
        <f t="shared" si="210"/>
        <v>0.13214216635716755</v>
      </c>
      <c r="AR230" s="16">
        <f t="shared" si="210"/>
        <v>9.9106624767875642E-2</v>
      </c>
      <c r="AS230" s="16">
        <f t="shared" si="211"/>
        <v>100</v>
      </c>
      <c r="AT230" s="16">
        <f t="shared" si="212"/>
        <v>10.014700902722669</v>
      </c>
      <c r="AU230" s="44"/>
      <c r="AV230" s="1" t="s">
        <v>261</v>
      </c>
      <c r="AY230" s="69"/>
      <c r="AZ230" s="69">
        <v>315.39999999999998</v>
      </c>
      <c r="BA230" s="69"/>
      <c r="BB230" s="69"/>
      <c r="BC230" s="69">
        <v>215.42759999999998</v>
      </c>
      <c r="BD230" s="69"/>
      <c r="BE230" s="69"/>
      <c r="BF230" s="69"/>
      <c r="BG230" s="69">
        <v>81.032399999999996</v>
      </c>
      <c r="BH230" s="69">
        <v>159.10019999999997</v>
      </c>
      <c r="BI230" s="69"/>
      <c r="BJ230" s="69">
        <v>78.067799999999991</v>
      </c>
      <c r="BK230" s="69"/>
      <c r="BL230" s="69"/>
      <c r="BN230" s="69"/>
      <c r="BO230" s="69"/>
      <c r="BP230" s="69"/>
      <c r="BQ230" s="69">
        <v>139.33619999999999</v>
      </c>
      <c r="BR230" s="69"/>
      <c r="BS230" s="69">
        <v>21.8</v>
      </c>
      <c r="BT230" s="69"/>
      <c r="BU230" s="69">
        <v>54.350999999999992</v>
      </c>
      <c r="BV230" s="69"/>
      <c r="CA230" s="9">
        <v>16.399999999999999</v>
      </c>
    </row>
    <row r="231" spans="1:98">
      <c r="A231" s="1" t="s">
        <v>251</v>
      </c>
      <c r="B231" s="13">
        <v>338</v>
      </c>
      <c r="C231" s="1" t="s">
        <v>60</v>
      </c>
      <c r="D231" s="63">
        <v>67.785200000000003</v>
      </c>
      <c r="E231" s="63">
        <v>5.3876999999999997</v>
      </c>
      <c r="I231" s="68">
        <f>429+0.12</f>
        <v>429.12</v>
      </c>
      <c r="J231" s="1" t="s">
        <v>256</v>
      </c>
      <c r="K231" s="1" t="s">
        <v>52</v>
      </c>
      <c r="L231" s="1" t="s">
        <v>864</v>
      </c>
      <c r="M231" s="78" t="s">
        <v>862</v>
      </c>
      <c r="N231" s="78"/>
      <c r="O231" s="7" t="s">
        <v>53</v>
      </c>
      <c r="P231" s="1" t="s">
        <v>262</v>
      </c>
      <c r="Q231" s="1" t="s">
        <v>261</v>
      </c>
      <c r="R231" s="4">
        <v>48.816952500000006</v>
      </c>
      <c r="S231" s="4">
        <v>1.0748142000000001</v>
      </c>
      <c r="T231" s="4">
        <v>14.8692528</v>
      </c>
      <c r="U231" s="4">
        <v>4.7611438999999995</v>
      </c>
      <c r="V231" s="4">
        <v>5.83</v>
      </c>
      <c r="W231" s="4">
        <v>0.24049709999999996</v>
      </c>
      <c r="X231" s="4">
        <v>7.9740129</v>
      </c>
      <c r="Y231" s="4">
        <v>12.634510199999999</v>
      </c>
      <c r="Z231" s="4">
        <v>2.2387014000000001</v>
      </c>
      <c r="AA231" s="4">
        <v>9.60009E-2</v>
      </c>
      <c r="AB231" s="4">
        <v>9.4021500000000008E-2</v>
      </c>
      <c r="AC231" s="9">
        <v>1.678879</v>
      </c>
      <c r="AD231" s="23">
        <f t="shared" si="207"/>
        <v>100.30878639999999</v>
      </c>
      <c r="AE231" s="21">
        <f t="shared" si="208"/>
        <v>10.1102683661</v>
      </c>
      <c r="AF231" s="23">
        <f t="shared" si="209"/>
        <v>0.58438044867251482</v>
      </c>
      <c r="AG231" s="44"/>
      <c r="AH231" s="16">
        <f t="shared" si="210"/>
        <v>49.495080941341335</v>
      </c>
      <c r="AI231" s="16">
        <f t="shared" si="210"/>
        <v>1.0897447116532526</v>
      </c>
      <c r="AJ231" s="16">
        <f t="shared" si="210"/>
        <v>15.07580529270577</v>
      </c>
      <c r="AK231" s="16">
        <f t="shared" si="210"/>
        <v>4.8272821353171018</v>
      </c>
      <c r="AL231" s="16">
        <f t="shared" si="210"/>
        <v>5.9109859815198407</v>
      </c>
      <c r="AM231" s="16">
        <f t="shared" si="210"/>
        <v>0.24383790509368358</v>
      </c>
      <c r="AN231" s="16">
        <f t="shared" si="210"/>
        <v>8.0847818985177309</v>
      </c>
      <c r="AO231" s="16">
        <f t="shared" si="210"/>
        <v>12.810019326855821</v>
      </c>
      <c r="AP231" s="16">
        <f t="shared" si="210"/>
        <v>2.2697997585263878</v>
      </c>
      <c r="AQ231" s="16">
        <f t="shared" si="210"/>
        <v>9.7334472403651479E-2</v>
      </c>
      <c r="AR231" s="16">
        <f t="shared" si="210"/>
        <v>9.5327576065431865E-2</v>
      </c>
      <c r="AS231" s="16">
        <f t="shared" si="211"/>
        <v>100.00000000000001</v>
      </c>
      <c r="AT231" s="16">
        <f t="shared" si="212"/>
        <v>10.250712621169916</v>
      </c>
      <c r="AU231" s="44"/>
      <c r="AV231" s="1" t="s">
        <v>261</v>
      </c>
      <c r="AY231" s="69">
        <v>45.28181650053272</v>
      </c>
      <c r="AZ231" s="69">
        <v>297.39999999999998</v>
      </c>
      <c r="BA231" s="69"/>
      <c r="BB231" s="69">
        <v>194.409931835489</v>
      </c>
      <c r="BC231" s="69">
        <v>220.70310000000001</v>
      </c>
      <c r="BD231" s="69">
        <v>45.35027608263271</v>
      </c>
      <c r="BE231" s="69"/>
      <c r="BF231" s="69">
        <v>71.314563294785415</v>
      </c>
      <c r="BG231" s="69">
        <v>78.186300000000003</v>
      </c>
      <c r="BH231" s="69">
        <v>152.41379999999998</v>
      </c>
      <c r="BI231" s="69"/>
      <c r="BJ231" s="69">
        <v>73.237799999999993</v>
      </c>
      <c r="BK231" s="69"/>
      <c r="BL231" s="69"/>
      <c r="BN231" s="69">
        <v>1.5058189073446966</v>
      </c>
      <c r="BO231" s="69"/>
      <c r="BP231" s="69">
        <v>140.98542429434406</v>
      </c>
      <c r="BQ231" s="69">
        <v>136.57859999999999</v>
      </c>
      <c r="BR231" s="69">
        <v>23.796203190838838</v>
      </c>
      <c r="BS231" s="69">
        <v>20.8</v>
      </c>
      <c r="BT231" s="69">
        <v>56.307839429535015</v>
      </c>
      <c r="BU231" s="69">
        <v>51.464399999999998</v>
      </c>
      <c r="BV231" s="69">
        <v>5.9346651861143283</v>
      </c>
      <c r="CA231" s="9">
        <v>17.100000000000001</v>
      </c>
      <c r="CB231" s="9">
        <v>4.5525661983599672</v>
      </c>
      <c r="CC231" s="9">
        <v>11.601229585753</v>
      </c>
      <c r="CD231" s="9">
        <v>1.9582186122906964</v>
      </c>
      <c r="CE231" s="9">
        <v>9.4114133127027255</v>
      </c>
      <c r="CF231" s="9">
        <v>2.9025679459538072</v>
      </c>
      <c r="CG231" s="9">
        <v>1.1365720425007584</v>
      </c>
      <c r="CH231" s="9">
        <v>3.6679575954991281</v>
      </c>
      <c r="CI231" s="9">
        <v>0.66400200294286837</v>
      </c>
      <c r="CJ231" s="9">
        <v>4.4268611335819523</v>
      </c>
      <c r="CK231" s="9">
        <v>0.96974714421573771</v>
      </c>
      <c r="CL231" s="9">
        <v>2.8413387747965917</v>
      </c>
      <c r="CM231" s="9">
        <v>0.43034176271220531</v>
      </c>
      <c r="CN231" s="9">
        <v>2.7298239952706442</v>
      </c>
      <c r="CO231" s="9">
        <v>0.40272489680315132</v>
      </c>
      <c r="CP231" s="9">
        <v>1.8110199608052626</v>
      </c>
      <c r="CQ231" s="9">
        <v>0.22946102297107906</v>
      </c>
      <c r="CR231" s="9">
        <v>0.11391681460678711</v>
      </c>
      <c r="CS231" s="9">
        <v>0.39934603544618746</v>
      </c>
      <c r="CT231" s="9">
        <v>9.269976567805549E-2</v>
      </c>
    </row>
    <row r="232" spans="1:98">
      <c r="A232" s="1" t="s">
        <v>251</v>
      </c>
      <c r="B232" s="13">
        <v>338</v>
      </c>
      <c r="C232" s="1" t="s">
        <v>61</v>
      </c>
      <c r="D232" s="63">
        <v>67.785200000000003</v>
      </c>
      <c r="E232" s="63">
        <v>5.3876999999999997</v>
      </c>
      <c r="I232" s="68">
        <f>429+0.83</f>
        <v>429.83</v>
      </c>
      <c r="J232" s="1" t="s">
        <v>256</v>
      </c>
      <c r="K232" s="1" t="s">
        <v>52</v>
      </c>
      <c r="L232" s="1" t="s">
        <v>864</v>
      </c>
      <c r="M232" s="78" t="s">
        <v>862</v>
      </c>
      <c r="N232" s="78"/>
      <c r="O232" s="7" t="s">
        <v>53</v>
      </c>
      <c r="P232" s="1" t="s">
        <v>262</v>
      </c>
      <c r="Q232" s="1" t="s">
        <v>261</v>
      </c>
      <c r="R232" s="4">
        <v>48.350927999999996</v>
      </c>
      <c r="S232" s="4">
        <v>1.1309985</v>
      </c>
      <c r="T232" s="4">
        <v>15.0196205</v>
      </c>
      <c r="U232" s="4">
        <v>5.068349500000001</v>
      </c>
      <c r="V232" s="4">
        <v>6.36</v>
      </c>
      <c r="W232" s="4">
        <v>0.25924900000000001</v>
      </c>
      <c r="X232" s="4">
        <v>7.8130920000000001</v>
      </c>
      <c r="Y232" s="4">
        <v>12.612167000000001</v>
      </c>
      <c r="Z232" s="4">
        <v>2.2164800000000002</v>
      </c>
      <c r="AA232" s="4">
        <v>0.106866</v>
      </c>
      <c r="AB232" s="4">
        <v>8.9054999999999995E-2</v>
      </c>
      <c r="AC232" s="9">
        <v>1.7578680000000002</v>
      </c>
      <c r="AD232" s="23">
        <f t="shared" si="207"/>
        <v>100.78467349999998</v>
      </c>
      <c r="AE232" s="21">
        <f t="shared" si="208"/>
        <v>10.916446200500001</v>
      </c>
      <c r="AF232" s="23">
        <f t="shared" si="209"/>
        <v>0.56061932784745094</v>
      </c>
      <c r="AG232" s="44"/>
      <c r="AH232" s="16">
        <f t="shared" si="210"/>
        <v>48.826100928803569</v>
      </c>
      <c r="AI232" s="16">
        <f t="shared" si="210"/>
        <v>1.1421134856258695</v>
      </c>
      <c r="AJ232" s="16">
        <f t="shared" si="210"/>
        <v>15.167227120135673</v>
      </c>
      <c r="AK232" s="16">
        <f t="shared" si="210"/>
        <v>5.1181591432836857</v>
      </c>
      <c r="AL232" s="16">
        <f t="shared" si="210"/>
        <v>6.4225034503410301</v>
      </c>
      <c r="AM232" s="16">
        <f t="shared" si="210"/>
        <v>0.26179679198073297</v>
      </c>
      <c r="AN232" s="16">
        <f t="shared" si="210"/>
        <v>7.8898758377094191</v>
      </c>
      <c r="AO232" s="16">
        <f t="shared" si="210"/>
        <v>12.736114162543599</v>
      </c>
      <c r="AP232" s="16">
        <f t="shared" si="210"/>
        <v>2.2382626489955801</v>
      </c>
      <c r="AQ232" s="16">
        <f t="shared" si="210"/>
        <v>0.10791623486228688</v>
      </c>
      <c r="AR232" s="16">
        <f t="shared" si="210"/>
        <v>8.99301957185724E-2</v>
      </c>
      <c r="AS232" s="16">
        <f t="shared" si="211"/>
        <v>100.00000000000003</v>
      </c>
      <c r="AT232" s="16">
        <f t="shared" si="212"/>
        <v>11.023728520153064</v>
      </c>
      <c r="AU232" s="44"/>
      <c r="AV232" s="1" t="s">
        <v>261</v>
      </c>
      <c r="AY232" s="69"/>
      <c r="AZ232" s="69">
        <v>312.10000000000002</v>
      </c>
      <c r="BA232" s="69"/>
      <c r="BB232" s="69"/>
      <c r="BC232" s="69">
        <v>217.69</v>
      </c>
      <c r="BD232" s="69"/>
      <c r="BE232" s="69"/>
      <c r="BF232" s="69"/>
      <c r="BG232" s="69">
        <v>76.191500000000005</v>
      </c>
      <c r="BH232" s="69">
        <v>160.29900000000001</v>
      </c>
      <c r="BI232" s="69"/>
      <c r="BJ232" s="69">
        <v>74.212500000000006</v>
      </c>
      <c r="BK232" s="69"/>
      <c r="BL232" s="69"/>
      <c r="BN232" s="69"/>
      <c r="BO232" s="69"/>
      <c r="BP232" s="69"/>
      <c r="BQ232" s="69">
        <v>134.572</v>
      </c>
      <c r="BR232" s="69"/>
      <c r="BS232" s="69">
        <v>21.1</v>
      </c>
      <c r="BT232" s="69"/>
      <c r="BU232" s="69">
        <v>51.454000000000008</v>
      </c>
      <c r="BV232" s="69"/>
      <c r="CA232" s="9">
        <v>18</v>
      </c>
    </row>
    <row r="233" spans="1:98">
      <c r="A233" s="56" t="s">
        <v>647</v>
      </c>
      <c r="B233" s="13"/>
      <c r="I233" s="4"/>
      <c r="L233" s="13"/>
      <c r="M233" s="13"/>
      <c r="N233" s="13"/>
      <c r="O233" s="7"/>
      <c r="AD233" s="23"/>
      <c r="AE233" s="23"/>
      <c r="AF233" s="23"/>
      <c r="AG233" s="44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44"/>
      <c r="AY233" s="69"/>
      <c r="AZ233" s="69"/>
      <c r="BA233" s="69"/>
      <c r="BB233" s="69"/>
      <c r="BC233" s="69"/>
      <c r="BD233" s="69"/>
      <c r="BE233" s="69"/>
      <c r="BF233" s="69"/>
      <c r="BG233" s="69"/>
      <c r="BH233" s="69"/>
      <c r="BI233" s="69"/>
      <c r="BJ233" s="69"/>
      <c r="BK233" s="69"/>
      <c r="BL233" s="69"/>
      <c r="BN233" s="69"/>
      <c r="BO233" s="69"/>
      <c r="BP233" s="69"/>
      <c r="BQ233" s="69"/>
      <c r="BR233" s="69"/>
      <c r="BS233" s="69"/>
      <c r="BT233" s="69"/>
      <c r="BU233" s="69"/>
      <c r="BV233" s="69"/>
    </row>
    <row r="234" spans="1:98">
      <c r="A234" s="1" t="s">
        <v>251</v>
      </c>
      <c r="B234" s="13">
        <v>342</v>
      </c>
      <c r="C234" s="1" t="s">
        <v>63</v>
      </c>
      <c r="D234" s="63">
        <v>67.950699999999998</v>
      </c>
      <c r="E234" s="63">
        <v>4.9337</v>
      </c>
      <c r="I234" s="68">
        <f>153+0.77</f>
        <v>153.77000000000001</v>
      </c>
      <c r="J234" s="1" t="s">
        <v>256</v>
      </c>
      <c r="K234" s="1" t="s">
        <v>52</v>
      </c>
      <c r="L234" s="1" t="s">
        <v>864</v>
      </c>
      <c r="M234" s="78" t="s">
        <v>862</v>
      </c>
      <c r="N234" s="78"/>
      <c r="O234" s="7" t="s">
        <v>62</v>
      </c>
      <c r="P234" s="1" t="s">
        <v>262</v>
      </c>
      <c r="Q234" s="1" t="s">
        <v>261</v>
      </c>
      <c r="R234" s="4">
        <v>49.443273600000005</v>
      </c>
      <c r="S234" s="4">
        <v>2.5488176</v>
      </c>
      <c r="T234" s="4">
        <v>14.712768000000001</v>
      </c>
      <c r="U234" s="4">
        <v>4.5002903999999999</v>
      </c>
      <c r="V234" s="4">
        <v>7.08</v>
      </c>
      <c r="W234" s="4">
        <v>0.16347520000000004</v>
      </c>
      <c r="X234" s="4">
        <v>5.592048000000001</v>
      </c>
      <c r="Y234" s="4">
        <v>11.052518399999999</v>
      </c>
      <c r="Z234" s="4">
        <v>2.9505279999999998</v>
      </c>
      <c r="AA234" s="4">
        <v>0.45155040000000007</v>
      </c>
      <c r="AB234" s="4">
        <v>0.26913600000000004</v>
      </c>
      <c r="AC234" s="9">
        <v>1.108004</v>
      </c>
      <c r="AD234" s="23">
        <f t="shared" ref="AD234:AD245" si="213">SUM(R234:AB234)+AC234</f>
        <v>99.872409599999997</v>
      </c>
      <c r="AE234" s="21">
        <f t="shared" ref="AE234:AE245" si="214">V234+0.899*U234</f>
        <v>11.125761069599999</v>
      </c>
      <c r="AF234" s="23">
        <f t="shared" ref="AF234:AF245" si="215">(X234/40.3)/((X234/40.3)+(AE234/71.844))</f>
        <v>0.47258452016991098</v>
      </c>
      <c r="AG234" s="44"/>
      <c r="AH234" s="16">
        <f t="shared" ref="AH234:AH245" si="216">100*R234/SUM($R234:$AB234)</f>
        <v>50.061834827667916</v>
      </c>
      <c r="AI234" s="16">
        <f t="shared" ref="AI234:AI245" si="217">100*S234/SUM($R234:$AB234)</f>
        <v>2.5807046420375563</v>
      </c>
      <c r="AJ234" s="16">
        <f t="shared" ref="AJ234:AJ245" si="218">100*T234/SUM($R234:$AB234)</f>
        <v>14.896832427248466</v>
      </c>
      <c r="AK234" s="16">
        <f t="shared" ref="AK234:AK245" si="219">100*U234/SUM($R234:$AB234)</f>
        <v>4.5565913880212729</v>
      </c>
      <c r="AL234" s="16">
        <f t="shared" ref="AL234:AL245" si="220">100*V234/SUM($R234:$AB234)</f>
        <v>7.1685745051454042</v>
      </c>
      <c r="AM234" s="16">
        <f t="shared" ref="AM234:AM245" si="221">100*W234/SUM($R234:$AB234)</f>
        <v>0.16552036030276077</v>
      </c>
      <c r="AN234" s="16">
        <f t="shared" ref="AN234:AN245" si="222">100*X234/SUM($R234:$AB234)</f>
        <v>5.662007446941999</v>
      </c>
      <c r="AO234" s="16">
        <f t="shared" ref="AO234:AO245" si="223">100*Y234/SUM($R234:$AB234)</f>
        <v>11.190791189250065</v>
      </c>
      <c r="AP234" s="16">
        <f t="shared" ref="AP234:AP245" si="224">100*Z234/SUM($R234:$AB234)</f>
        <v>2.987440649366901</v>
      </c>
      <c r="AQ234" s="16">
        <f t="shared" ref="AQ234:AQ245" si="225">100*AA234/SUM($R234:$AB234)</f>
        <v>0.45719953181189404</v>
      </c>
      <c r="AR234" s="16">
        <f t="shared" ref="AR234:AR245" si="226">100*AB234/SUM($R234:$AB234)</f>
        <v>0.27250303220576466</v>
      </c>
      <c r="AS234" s="16">
        <f t="shared" ref="AS234:AS245" si="227">SUM(AH234:AR234)</f>
        <v>100</v>
      </c>
      <c r="AT234" s="16">
        <f t="shared" ref="AT234:AT245" si="228">AL234+0.899*AK234</f>
        <v>11.264950162976529</v>
      </c>
      <c r="AU234" s="44"/>
      <c r="AV234" s="1" t="s">
        <v>261</v>
      </c>
      <c r="AY234" s="69"/>
      <c r="AZ234" s="69">
        <v>358.5</v>
      </c>
      <c r="BA234" s="69"/>
      <c r="BB234" s="69"/>
      <c r="BC234" s="69">
        <v>206.33760000000001</v>
      </c>
      <c r="BD234" s="69"/>
      <c r="BE234" s="69"/>
      <c r="BF234" s="69"/>
      <c r="BG234" s="69">
        <v>80.740800000000007</v>
      </c>
      <c r="BH234" s="69">
        <v>148.5232</v>
      </c>
      <c r="BI234" s="69"/>
      <c r="BJ234" s="69">
        <v>114.63200000000001</v>
      </c>
      <c r="BK234" s="69"/>
      <c r="BL234" s="69"/>
      <c r="BN234" s="69"/>
      <c r="BO234" s="69"/>
      <c r="BP234" s="69"/>
      <c r="BQ234" s="69">
        <v>231.25760000000002</v>
      </c>
      <c r="BR234" s="69"/>
      <c r="BS234" s="69">
        <v>29.5</v>
      </c>
      <c r="BT234" s="69"/>
      <c r="BU234" s="69">
        <v>162.47840000000002</v>
      </c>
      <c r="BV234" s="69"/>
      <c r="CA234" s="9">
        <v>126</v>
      </c>
    </row>
    <row r="235" spans="1:98">
      <c r="A235" s="1" t="s">
        <v>251</v>
      </c>
      <c r="B235" s="13">
        <v>342</v>
      </c>
      <c r="C235" s="1" t="s">
        <v>64</v>
      </c>
      <c r="D235" s="63">
        <v>67.950699999999998</v>
      </c>
      <c r="E235" s="63">
        <v>4.9337</v>
      </c>
      <c r="I235" s="68">
        <f>154.5+0.94</f>
        <v>155.44</v>
      </c>
      <c r="J235" s="1" t="s">
        <v>256</v>
      </c>
      <c r="K235" s="1" t="s">
        <v>52</v>
      </c>
      <c r="L235" s="1" t="s">
        <v>864</v>
      </c>
      <c r="M235" s="78" t="s">
        <v>862</v>
      </c>
      <c r="N235" s="78"/>
      <c r="O235" s="7" t="s">
        <v>62</v>
      </c>
      <c r="P235" s="1" t="s">
        <v>262</v>
      </c>
      <c r="Q235" s="1" t="s">
        <v>261</v>
      </c>
      <c r="R235" s="4">
        <v>48.875638699999996</v>
      </c>
      <c r="S235" s="4">
        <v>2.4882578</v>
      </c>
      <c r="T235" s="4">
        <v>14.256183200000001</v>
      </c>
      <c r="U235" s="4">
        <v>5.2088147000000014</v>
      </c>
      <c r="V235" s="4">
        <v>7.59</v>
      </c>
      <c r="W235" s="4">
        <v>0.15738379999999999</v>
      </c>
      <c r="X235" s="4">
        <v>5.9307794000000005</v>
      </c>
      <c r="Y235" s="4">
        <v>10.585554699999999</v>
      </c>
      <c r="Z235" s="4">
        <v>2.8030254000000001</v>
      </c>
      <c r="AA235" s="4">
        <v>0.39345950000000002</v>
      </c>
      <c r="AB235" s="4">
        <v>0.26795089999999999</v>
      </c>
      <c r="AC235" s="9">
        <v>1.2347669999999999</v>
      </c>
      <c r="AD235" s="23">
        <f t="shared" si="213"/>
        <v>99.791815100000022</v>
      </c>
      <c r="AE235" s="21">
        <f t="shared" si="214"/>
        <v>12.272724415300001</v>
      </c>
      <c r="AF235" s="23">
        <f t="shared" si="215"/>
        <v>0.46279937026976625</v>
      </c>
      <c r="AG235" s="44"/>
      <c r="AH235" s="16">
        <f t="shared" si="216"/>
        <v>49.591216094874085</v>
      </c>
      <c r="AI235" s="16">
        <f t="shared" si="217"/>
        <v>2.5246878310268706</v>
      </c>
      <c r="AJ235" s="16">
        <f t="shared" si="218"/>
        <v>14.464904818917763</v>
      </c>
      <c r="AK235" s="16">
        <f t="shared" si="219"/>
        <v>5.2850758016970278</v>
      </c>
      <c r="AL235" s="16">
        <f t="shared" si="220"/>
        <v>7.7011235079797391</v>
      </c>
      <c r="AM235" s="16">
        <f t="shared" si="221"/>
        <v>0.15968802133796858</v>
      </c>
      <c r="AN235" s="16">
        <f t="shared" si="222"/>
        <v>6.0176106268750953</v>
      </c>
      <c r="AO235" s="16">
        <f t="shared" si="223"/>
        <v>10.740535460497419</v>
      </c>
      <c r="AP235" s="16">
        <f t="shared" si="224"/>
        <v>2.8440638737028081</v>
      </c>
      <c r="AQ235" s="16">
        <f t="shared" si="225"/>
        <v>0.3992200533449215</v>
      </c>
      <c r="AR235" s="16">
        <f t="shared" si="226"/>
        <v>0.27187390974628828</v>
      </c>
      <c r="AS235" s="16">
        <f t="shared" si="227"/>
        <v>99.999999999999986</v>
      </c>
      <c r="AT235" s="16">
        <f t="shared" si="228"/>
        <v>12.452406653705367</v>
      </c>
      <c r="AU235" s="44"/>
      <c r="AV235" s="1" t="s">
        <v>261</v>
      </c>
      <c r="AY235" s="69">
        <v>39.558917695008212</v>
      </c>
      <c r="AZ235" s="69">
        <v>361.4</v>
      </c>
      <c r="BA235" s="69"/>
      <c r="BB235" s="69">
        <v>163.51468977685761</v>
      </c>
      <c r="BC235" s="69">
        <v>192.2473</v>
      </c>
      <c r="BD235" s="69">
        <v>49.137989173659939</v>
      </c>
      <c r="BE235" s="69"/>
      <c r="BF235" s="69">
        <v>68.765082271989399</v>
      </c>
      <c r="BG235" s="69">
        <v>77.695800000000006</v>
      </c>
      <c r="BH235" s="69">
        <v>147.4228</v>
      </c>
      <c r="BI235" s="69"/>
      <c r="BJ235" s="69">
        <v>109.571</v>
      </c>
      <c r="BK235" s="69"/>
      <c r="BL235" s="69"/>
      <c r="BN235" s="69">
        <v>4.6364805677879097</v>
      </c>
      <c r="BO235" s="69"/>
      <c r="BP235" s="69">
        <v>219.94692569971579</v>
      </c>
      <c r="BQ235" s="69">
        <v>219.142</v>
      </c>
      <c r="BR235" s="69">
        <v>36.992664175828665</v>
      </c>
      <c r="BS235" s="69">
        <v>30.4</v>
      </c>
      <c r="BT235" s="69">
        <v>175.65107390521405</v>
      </c>
      <c r="BU235" s="69">
        <v>161.3682</v>
      </c>
      <c r="BV235" s="69">
        <v>12.431209310200693</v>
      </c>
      <c r="CA235" s="9">
        <v>126</v>
      </c>
      <c r="CB235" s="9">
        <v>15.566533487802449</v>
      </c>
      <c r="CC235" s="9">
        <v>42.595525403075165</v>
      </c>
      <c r="CD235" s="9">
        <v>5.6516871373606721</v>
      </c>
      <c r="CE235" s="9">
        <v>27.375272642672201</v>
      </c>
      <c r="CF235" s="9">
        <v>7.2673227771689604</v>
      </c>
      <c r="CG235" s="9">
        <v>2.3060570685185073</v>
      </c>
      <c r="CH235" s="9">
        <v>7.6292750920670143</v>
      </c>
      <c r="CI235" s="9">
        <v>1.3525440305125698</v>
      </c>
      <c r="CJ235" s="9">
        <v>8.9391532591127323</v>
      </c>
      <c r="CK235" s="9">
        <v>1.8534988344328287</v>
      </c>
      <c r="CL235" s="9">
        <v>5.2587412918743528</v>
      </c>
      <c r="CM235" s="9">
        <v>0.76958905789424636</v>
      </c>
      <c r="CN235" s="9">
        <v>4.7379927076244792</v>
      </c>
      <c r="CO235" s="9">
        <v>0.66497659191791658</v>
      </c>
      <c r="CP235" s="9">
        <v>5.5672081684116135</v>
      </c>
      <c r="CQ235" s="9">
        <v>0.93730612776780009</v>
      </c>
      <c r="CR235" s="9">
        <v>1.6559717720497713</v>
      </c>
      <c r="CS235" s="9">
        <v>1.7429287348285269</v>
      </c>
      <c r="CT235" s="9">
        <v>0.44861007228615379</v>
      </c>
    </row>
    <row r="236" spans="1:98">
      <c r="A236" s="1" t="s">
        <v>251</v>
      </c>
      <c r="B236" s="13">
        <v>342</v>
      </c>
      <c r="C236" s="1" t="s">
        <v>65</v>
      </c>
      <c r="D236" s="63">
        <v>67.950699999999998</v>
      </c>
      <c r="E236" s="63">
        <v>4.9337</v>
      </c>
      <c r="I236" s="68">
        <f>157.5+1.39</f>
        <v>158.88999999999999</v>
      </c>
      <c r="J236" s="1" t="s">
        <v>256</v>
      </c>
      <c r="K236" s="1" t="s">
        <v>52</v>
      </c>
      <c r="L236" s="1" t="s">
        <v>864</v>
      </c>
      <c r="M236" s="78" t="s">
        <v>862</v>
      </c>
      <c r="N236" s="78"/>
      <c r="O236" s="7" t="s">
        <v>62</v>
      </c>
      <c r="P236" s="1" t="s">
        <v>262</v>
      </c>
      <c r="Q236" s="1" t="s">
        <v>261</v>
      </c>
      <c r="R236" s="4">
        <v>48.363580499999998</v>
      </c>
      <c r="S236" s="4">
        <v>2.8488473000000001</v>
      </c>
      <c r="T236" s="4">
        <v>16.397332199999997</v>
      </c>
      <c r="U236" s="4">
        <v>10.697527399999998</v>
      </c>
      <c r="V236" s="4">
        <v>3.18</v>
      </c>
      <c r="W236" s="4">
        <v>0.14937039999999999</v>
      </c>
      <c r="X236" s="4">
        <v>3.1672420999999997</v>
      </c>
      <c r="Y236" s="4">
        <v>8.0709150999999988</v>
      </c>
      <c r="Z236" s="4">
        <v>3.0050965999999999</v>
      </c>
      <c r="AA236" s="4">
        <v>1.3580913999999999</v>
      </c>
      <c r="AB236" s="4">
        <v>0.3793222</v>
      </c>
      <c r="AC236" s="9">
        <v>2.0839340000000002</v>
      </c>
      <c r="AD236" s="23">
        <f t="shared" si="213"/>
        <v>99.701259199999996</v>
      </c>
      <c r="AE236" s="21">
        <f t="shared" si="214"/>
        <v>12.797077132599998</v>
      </c>
      <c r="AF236" s="23">
        <f t="shared" si="215"/>
        <v>0.30614376906777185</v>
      </c>
      <c r="AG236" s="44"/>
      <c r="AH236" s="16">
        <f t="shared" si="216"/>
        <v>49.544054194183147</v>
      </c>
      <c r="AI236" s="16">
        <f t="shared" si="217"/>
        <v>2.918382873289382</v>
      </c>
      <c r="AJ236" s="16">
        <f t="shared" si="218"/>
        <v>16.797563512834298</v>
      </c>
      <c r="AK236" s="16">
        <f t="shared" si="219"/>
        <v>10.958636059821069</v>
      </c>
      <c r="AL236" s="16">
        <f t="shared" si="220"/>
        <v>3.2576184539832078</v>
      </c>
      <c r="AM236" s="16">
        <f t="shared" si="221"/>
        <v>0.15301628035184064</v>
      </c>
      <c r="AN236" s="16">
        <f t="shared" si="222"/>
        <v>3.2445491550919896</v>
      </c>
      <c r="AO236" s="16">
        <f t="shared" si="223"/>
        <v>8.2679125692741255</v>
      </c>
      <c r="AP236" s="16">
        <f t="shared" si="224"/>
        <v>3.0784459560258468</v>
      </c>
      <c r="AQ236" s="16">
        <f t="shared" si="225"/>
        <v>1.3912401279358144</v>
      </c>
      <c r="AR236" s="16">
        <f t="shared" si="226"/>
        <v>0.38858081720927962</v>
      </c>
      <c r="AS236" s="16">
        <f t="shared" si="227"/>
        <v>100</v>
      </c>
      <c r="AT236" s="16">
        <f t="shared" si="228"/>
        <v>13.109432271762349</v>
      </c>
      <c r="AU236" s="44"/>
      <c r="AV236" s="1" t="s">
        <v>261</v>
      </c>
      <c r="AY236" s="69"/>
      <c r="AZ236" s="69">
        <v>387.6</v>
      </c>
      <c r="BA236" s="69"/>
      <c r="BB236" s="69"/>
      <c r="BC236" s="69">
        <v>214.2286</v>
      </c>
      <c r="BD236" s="69"/>
      <c r="BE236" s="69"/>
      <c r="BF236" s="69"/>
      <c r="BG236" s="69">
        <v>64.858199999999997</v>
      </c>
      <c r="BH236" s="69">
        <v>195.5573</v>
      </c>
      <c r="BI236" s="69"/>
      <c r="BJ236" s="69">
        <v>113.01049999999999</v>
      </c>
      <c r="BK236" s="69"/>
      <c r="BL236" s="69"/>
      <c r="BN236" s="69"/>
      <c r="BO236" s="69"/>
      <c r="BP236" s="69"/>
      <c r="BQ236" s="69">
        <v>220.12479999999999</v>
      </c>
      <c r="BR236" s="69"/>
      <c r="BS236" s="69">
        <v>43.6</v>
      </c>
      <c r="BT236" s="69"/>
      <c r="BU236" s="69">
        <v>183.76489999999998</v>
      </c>
      <c r="BV236" s="69"/>
      <c r="CA236" s="9">
        <v>136.30000000000001</v>
      </c>
    </row>
    <row r="237" spans="1:98">
      <c r="A237" s="1" t="s">
        <v>251</v>
      </c>
      <c r="B237" s="13">
        <v>342</v>
      </c>
      <c r="C237" s="1" t="s">
        <v>66</v>
      </c>
      <c r="D237" s="63">
        <v>67.950699999999998</v>
      </c>
      <c r="E237" s="63">
        <v>4.9337</v>
      </c>
      <c r="I237" s="68">
        <f>157.5+0.93</f>
        <v>158.43</v>
      </c>
      <c r="J237" s="1" t="s">
        <v>256</v>
      </c>
      <c r="K237" s="1" t="s">
        <v>52</v>
      </c>
      <c r="L237" s="1" t="s">
        <v>864</v>
      </c>
      <c r="M237" s="78" t="s">
        <v>862</v>
      </c>
      <c r="N237" s="78"/>
      <c r="O237" s="7" t="s">
        <v>62</v>
      </c>
      <c r="P237" s="1" t="s">
        <v>262</v>
      </c>
      <c r="Q237" s="1" t="s">
        <v>261</v>
      </c>
      <c r="R237" s="4">
        <v>49.510187999999999</v>
      </c>
      <c r="S237" s="4">
        <v>2.5529783999999998</v>
      </c>
      <c r="T237" s="4">
        <v>14.479206</v>
      </c>
      <c r="U237" s="4">
        <v>4.3448944000000012</v>
      </c>
      <c r="V237" s="4">
        <v>8.1199999999999992</v>
      </c>
      <c r="W237" s="4">
        <v>0.20591759999999998</v>
      </c>
      <c r="X237" s="4">
        <v>5.8216703999999995</v>
      </c>
      <c r="Y237" s="4">
        <v>11.076567599999999</v>
      </c>
      <c r="Z237" s="4">
        <v>2.7998795999999997</v>
      </c>
      <c r="AA237" s="4">
        <v>0.36785279999999998</v>
      </c>
      <c r="AB237" s="4">
        <v>0.27888840000000004</v>
      </c>
      <c r="AC237" s="9">
        <v>0.94375599999999993</v>
      </c>
      <c r="AD237" s="23">
        <f t="shared" si="213"/>
        <v>100.50179920000001</v>
      </c>
      <c r="AE237" s="21">
        <f t="shared" si="214"/>
        <v>12.026060065599999</v>
      </c>
      <c r="AF237" s="23">
        <f t="shared" si="215"/>
        <v>0.46323072176555852</v>
      </c>
      <c r="AG237" s="44"/>
      <c r="AH237" s="16">
        <f t="shared" si="216"/>
        <v>49.729972997299718</v>
      </c>
      <c r="AI237" s="16">
        <f t="shared" si="217"/>
        <v>2.5643115492651622</v>
      </c>
      <c r="AJ237" s="16">
        <f t="shared" si="218"/>
        <v>14.543481907245839</v>
      </c>
      <c r="AK237" s="16">
        <f t="shared" si="219"/>
        <v>4.3641821999972779</v>
      </c>
      <c r="AL237" s="16">
        <f t="shared" si="220"/>
        <v>8.1560462007955561</v>
      </c>
      <c r="AM237" s="16">
        <f t="shared" si="221"/>
        <v>0.20683170679272647</v>
      </c>
      <c r="AN237" s="16">
        <f t="shared" si="222"/>
        <v>5.8475138852467907</v>
      </c>
      <c r="AO237" s="16">
        <f t="shared" si="223"/>
        <v>11.125738558107777</v>
      </c>
      <c r="AP237" s="16">
        <f t="shared" si="224"/>
        <v>2.8123087899341108</v>
      </c>
      <c r="AQ237" s="16">
        <f t="shared" si="225"/>
        <v>0.36948576747438516</v>
      </c>
      <c r="AR237" s="16">
        <f t="shared" si="226"/>
        <v>0.28012643784063446</v>
      </c>
      <c r="AS237" s="16">
        <f t="shared" si="227"/>
        <v>99.999999999999972</v>
      </c>
      <c r="AT237" s="16">
        <f t="shared" si="228"/>
        <v>12.079445998593108</v>
      </c>
      <c r="AU237" s="44"/>
      <c r="AV237" s="1" t="s">
        <v>261</v>
      </c>
      <c r="AY237" s="69"/>
      <c r="AZ237" s="69">
        <v>362.9</v>
      </c>
      <c r="BA237" s="69"/>
      <c r="BB237" s="69"/>
      <c r="BC237" s="69">
        <v>201.91919999999999</v>
      </c>
      <c r="BD237" s="69"/>
      <c r="BE237" s="69"/>
      <c r="BF237" s="69"/>
      <c r="BG237" s="69">
        <v>96.961199999999991</v>
      </c>
      <c r="BH237" s="69">
        <v>292.88279999999997</v>
      </c>
      <c r="BI237" s="69"/>
      <c r="BJ237" s="69">
        <v>123.95039999999999</v>
      </c>
      <c r="BK237" s="69"/>
      <c r="BL237" s="69"/>
      <c r="BN237" s="69"/>
      <c r="BO237" s="69"/>
      <c r="BP237" s="69"/>
      <c r="BQ237" s="69">
        <v>220.91159999999999</v>
      </c>
      <c r="BR237" s="69"/>
      <c r="BS237" s="69">
        <v>32.6</v>
      </c>
      <c r="BT237" s="69"/>
      <c r="BU237" s="69">
        <v>165.93360000000001</v>
      </c>
      <c r="BV237" s="69"/>
      <c r="CA237" s="9">
        <v>120.5</v>
      </c>
    </row>
    <row r="238" spans="1:98">
      <c r="A238" s="1" t="s">
        <v>251</v>
      </c>
      <c r="B238" s="13">
        <v>342</v>
      </c>
      <c r="C238" s="1" t="s">
        <v>67</v>
      </c>
      <c r="D238" s="63">
        <v>67.950699999999998</v>
      </c>
      <c r="E238" s="63">
        <v>4.9337</v>
      </c>
      <c r="I238" s="68">
        <f>161+1.01</f>
        <v>162.01</v>
      </c>
      <c r="J238" s="1" t="s">
        <v>256</v>
      </c>
      <c r="K238" s="1" t="s">
        <v>52</v>
      </c>
      <c r="L238" s="1" t="s">
        <v>864</v>
      </c>
      <c r="M238" s="78" t="s">
        <v>862</v>
      </c>
      <c r="N238" s="78"/>
      <c r="O238" s="7" t="s">
        <v>285</v>
      </c>
      <c r="P238" s="1" t="s">
        <v>262</v>
      </c>
      <c r="Q238" s="1" t="s">
        <v>261</v>
      </c>
      <c r="R238" s="4">
        <v>48.016043099999997</v>
      </c>
      <c r="S238" s="4">
        <v>2.7395217999999999</v>
      </c>
      <c r="T238" s="4">
        <v>15.326831399999998</v>
      </c>
      <c r="U238" s="4">
        <v>8.4711973</v>
      </c>
      <c r="V238" s="4">
        <v>5.71</v>
      </c>
      <c r="W238" s="4">
        <v>0.18015439999999999</v>
      </c>
      <c r="X238" s="4">
        <v>4.4255319999999996</v>
      </c>
      <c r="Y238" s="4">
        <v>7.6820186000000001</v>
      </c>
      <c r="Z238" s="4">
        <v>2.5299944000000001</v>
      </c>
      <c r="AA238" s="4">
        <v>1.4794200999999998</v>
      </c>
      <c r="AB238" s="4">
        <v>0.35051779999999999</v>
      </c>
      <c r="AC238" s="9">
        <v>2.7255229999999999</v>
      </c>
      <c r="AD238" s="23">
        <f t="shared" si="213"/>
        <v>99.636753900000016</v>
      </c>
      <c r="AE238" s="21">
        <f t="shared" si="214"/>
        <v>13.325606372700001</v>
      </c>
      <c r="AF238" s="23">
        <f t="shared" si="215"/>
        <v>0.37188202378946833</v>
      </c>
      <c r="AG238" s="44"/>
      <c r="AH238" s="16">
        <f t="shared" si="216"/>
        <v>49.546417534977351</v>
      </c>
      <c r="AI238" s="16">
        <f t="shared" si="217"/>
        <v>2.826836244425412</v>
      </c>
      <c r="AJ238" s="16">
        <f t="shared" si="218"/>
        <v>15.815330439683844</v>
      </c>
      <c r="AK238" s="16">
        <f t="shared" si="219"/>
        <v>8.7411925545979194</v>
      </c>
      <c r="AL238" s="16">
        <f t="shared" si="220"/>
        <v>5.8919899654272152</v>
      </c>
      <c r="AM238" s="16">
        <f t="shared" si="221"/>
        <v>0.18589630771060606</v>
      </c>
      <c r="AN238" s="16">
        <f t="shared" si="222"/>
        <v>4.5665832111518441</v>
      </c>
      <c r="AO238" s="16">
        <f t="shared" si="223"/>
        <v>7.9268610342250829</v>
      </c>
      <c r="AP238" s="16">
        <f t="shared" si="224"/>
        <v>2.6106307561098161</v>
      </c>
      <c r="AQ238" s="16">
        <f t="shared" si="225"/>
        <v>1.5265723964713356</v>
      </c>
      <c r="AR238" s="16">
        <f t="shared" si="226"/>
        <v>0.36168955521954882</v>
      </c>
      <c r="AS238" s="16">
        <f t="shared" si="227"/>
        <v>99.999999999999972</v>
      </c>
      <c r="AT238" s="16">
        <f t="shared" si="228"/>
        <v>13.750322072010745</v>
      </c>
      <c r="AU238" s="44"/>
      <c r="AV238" s="1" t="s">
        <v>261</v>
      </c>
      <c r="AY238" s="69">
        <v>42.00900198003999</v>
      </c>
      <c r="AZ238" s="69">
        <v>374</v>
      </c>
      <c r="BA238" s="69"/>
      <c r="BB238" s="69">
        <v>171.65603083110111</v>
      </c>
      <c r="BC238" s="69">
        <v>220.29750000000001</v>
      </c>
      <c r="BD238" s="69">
        <v>47.949197898109631</v>
      </c>
      <c r="BE238" s="69"/>
      <c r="BF238" s="69">
        <v>74.169493529931131</v>
      </c>
      <c r="BG238" s="69">
        <v>88.119</v>
      </c>
      <c r="BH238" s="69">
        <v>374.01619999999997</v>
      </c>
      <c r="BI238" s="69"/>
      <c r="BJ238" s="69">
        <v>141.96949999999998</v>
      </c>
      <c r="BK238" s="69"/>
      <c r="BL238" s="69"/>
      <c r="BN238" s="69">
        <v>23.369526539590677</v>
      </c>
      <c r="BO238" s="69"/>
      <c r="BP238" s="69">
        <v>172.41411990045569</v>
      </c>
      <c r="BQ238" s="69">
        <v>172.32159999999999</v>
      </c>
      <c r="BR238" s="69">
        <v>44.317461609427184</v>
      </c>
      <c r="BS238" s="69">
        <v>34.4</v>
      </c>
      <c r="BT238" s="69">
        <v>193.26165249485913</v>
      </c>
      <c r="BU238" s="69">
        <v>179.17529999999999</v>
      </c>
      <c r="BV238" s="69">
        <v>13.260742682725278</v>
      </c>
      <c r="CA238" s="9">
        <v>148.9</v>
      </c>
      <c r="CB238" s="9">
        <v>17.002924446284517</v>
      </c>
      <c r="CC238" s="9">
        <v>45.817201808430511</v>
      </c>
      <c r="CD238" s="9">
        <v>6.1981867282544627</v>
      </c>
      <c r="CE238" s="9">
        <v>30.242600980840404</v>
      </c>
      <c r="CF238" s="9">
        <v>8.028148358318429</v>
      </c>
      <c r="CG238" s="9">
        <v>2.5543865043064362</v>
      </c>
      <c r="CH238" s="9">
        <v>8.4655490094397194</v>
      </c>
      <c r="CI238" s="9">
        <v>1.5169578298651354</v>
      </c>
      <c r="CJ238" s="9">
        <v>10.096231042371752</v>
      </c>
      <c r="CK238" s="9">
        <v>2.1397949919714092</v>
      </c>
      <c r="CL238" s="9">
        <v>6.1024640565347017</v>
      </c>
      <c r="CM238" s="9">
        <v>0.90098340863356219</v>
      </c>
      <c r="CN238" s="9">
        <v>5.4366530394488812</v>
      </c>
      <c r="CO238" s="9">
        <v>0.76941713511163545</v>
      </c>
      <c r="CP238" s="9">
        <v>5.9454750882495162</v>
      </c>
      <c r="CQ238" s="9">
        <v>1.0494165397893929</v>
      </c>
      <c r="CR238" s="9">
        <v>2.0280606334009073</v>
      </c>
      <c r="CS238" s="9">
        <v>1.982793146069737</v>
      </c>
      <c r="CT238" s="9">
        <v>0.66330232415843726</v>
      </c>
    </row>
    <row r="239" spans="1:98">
      <c r="A239" s="1" t="s">
        <v>251</v>
      </c>
      <c r="B239" s="13">
        <v>342</v>
      </c>
      <c r="C239" s="1" t="s">
        <v>68</v>
      </c>
      <c r="D239" s="63">
        <v>67.950699999999998</v>
      </c>
      <c r="E239" s="63">
        <v>4.9337</v>
      </c>
      <c r="I239" s="68">
        <f>161+0.93</f>
        <v>161.93</v>
      </c>
      <c r="J239" s="1" t="s">
        <v>256</v>
      </c>
      <c r="K239" s="1" t="s">
        <v>52</v>
      </c>
      <c r="L239" s="1" t="s">
        <v>864</v>
      </c>
      <c r="M239" s="78" t="s">
        <v>862</v>
      </c>
      <c r="N239" s="78"/>
      <c r="O239" s="7" t="s">
        <v>285</v>
      </c>
      <c r="P239" s="1" t="s">
        <v>262</v>
      </c>
      <c r="Q239" s="1" t="s">
        <v>261</v>
      </c>
      <c r="R239" s="4">
        <v>48.265573599999996</v>
      </c>
      <c r="S239" s="4">
        <v>2.7871215999999999</v>
      </c>
      <c r="T239" s="4">
        <v>15.422787999999999</v>
      </c>
      <c r="U239" s="4">
        <v>7.8739965999999999</v>
      </c>
      <c r="V239" s="4">
        <v>6.01</v>
      </c>
      <c r="W239" s="4">
        <v>0.18821359999999998</v>
      </c>
      <c r="X239" s="4">
        <v>4.4732424000000002</v>
      </c>
      <c r="Y239" s="4">
        <v>7.4827095999999997</v>
      </c>
      <c r="Z239" s="4">
        <v>2.3434055999999996</v>
      </c>
      <c r="AA239" s="4">
        <v>1.5174112</v>
      </c>
      <c r="AB239" s="4">
        <v>0.40763359999999998</v>
      </c>
      <c r="AC239" s="9">
        <v>3.1489129999999999</v>
      </c>
      <c r="AD239" s="23">
        <f t="shared" si="213"/>
        <v>99.921008799999996</v>
      </c>
      <c r="AE239" s="21">
        <f t="shared" si="214"/>
        <v>13.088722943400001</v>
      </c>
      <c r="AF239" s="23">
        <f t="shared" si="215"/>
        <v>0.37860067998032748</v>
      </c>
      <c r="AG239" s="44"/>
      <c r="AH239" s="16">
        <f t="shared" si="216"/>
        <v>49.875507191402583</v>
      </c>
      <c r="AI239" s="16">
        <f t="shared" si="217"/>
        <v>2.8800880842347114</v>
      </c>
      <c r="AJ239" s="16">
        <f t="shared" si="218"/>
        <v>15.937226400340084</v>
      </c>
      <c r="AK239" s="16">
        <f t="shared" si="219"/>
        <v>8.1366395290986357</v>
      </c>
      <c r="AL239" s="16">
        <f t="shared" si="220"/>
        <v>6.2104679559910902</v>
      </c>
      <c r="AM239" s="16">
        <f t="shared" si="221"/>
        <v>0.19449160260927198</v>
      </c>
      <c r="AN239" s="16">
        <f t="shared" si="222"/>
        <v>4.6224506796307292</v>
      </c>
      <c r="AO239" s="16">
        <f t="shared" si="223"/>
        <v>7.7323008643572226</v>
      </c>
      <c r="AP239" s="16">
        <f t="shared" si="224"/>
        <v>2.4215716117620754</v>
      </c>
      <c r="AQ239" s="16">
        <f t="shared" si="225"/>
        <v>1.5680255630053224</v>
      </c>
      <c r="AR239" s="16">
        <f t="shared" si="226"/>
        <v>0.42123051756826785</v>
      </c>
      <c r="AS239" s="16">
        <f t="shared" si="227"/>
        <v>100</v>
      </c>
      <c r="AT239" s="16">
        <f t="shared" si="228"/>
        <v>13.525306892650764</v>
      </c>
      <c r="AU239" s="44"/>
      <c r="AV239" s="1" t="s">
        <v>261</v>
      </c>
      <c r="AY239" s="69"/>
      <c r="AZ239" s="69">
        <v>390.1</v>
      </c>
      <c r="BA239" s="69"/>
      <c r="BB239" s="69"/>
      <c r="BC239" s="69">
        <v>219.42</v>
      </c>
      <c r="BD239" s="69"/>
      <c r="BE239" s="69"/>
      <c r="BF239" s="69"/>
      <c r="BG239" s="69">
        <v>82.891999999999996</v>
      </c>
      <c r="BH239" s="69">
        <v>346.19599999999997</v>
      </c>
      <c r="BI239" s="69"/>
      <c r="BJ239" s="69">
        <v>147.25519999999997</v>
      </c>
      <c r="BK239" s="69"/>
      <c r="BL239" s="69"/>
      <c r="BN239" s="69"/>
      <c r="BO239" s="69"/>
      <c r="BP239" s="69"/>
      <c r="BQ239" s="69">
        <v>156.03199999999998</v>
      </c>
      <c r="BR239" s="69"/>
      <c r="BS239" s="69">
        <v>36.4</v>
      </c>
      <c r="BT239" s="69"/>
      <c r="BU239" s="69">
        <v>182.36239999999998</v>
      </c>
      <c r="BV239" s="69"/>
      <c r="CA239" s="9">
        <v>145</v>
      </c>
    </row>
    <row r="240" spans="1:98">
      <c r="A240" s="1" t="s">
        <v>251</v>
      </c>
      <c r="B240" s="13">
        <v>342</v>
      </c>
      <c r="C240" s="1" t="s">
        <v>69</v>
      </c>
      <c r="D240" s="63">
        <v>67.950699999999998</v>
      </c>
      <c r="E240" s="63">
        <v>4.9337</v>
      </c>
      <c r="I240" s="68">
        <f>162.5+1.44</f>
        <v>163.94</v>
      </c>
      <c r="J240" s="1" t="s">
        <v>256</v>
      </c>
      <c r="K240" s="1" t="s">
        <v>52</v>
      </c>
      <c r="L240" s="1" t="s">
        <v>864</v>
      </c>
      <c r="M240" s="78" t="s">
        <v>862</v>
      </c>
      <c r="N240" s="78"/>
      <c r="O240" s="7" t="s">
        <v>62</v>
      </c>
      <c r="P240" s="1" t="s">
        <v>262</v>
      </c>
      <c r="Q240" s="1" t="s">
        <v>261</v>
      </c>
      <c r="R240" s="4">
        <v>49.153675199999995</v>
      </c>
      <c r="S240" s="4">
        <v>2.5874511999999998</v>
      </c>
      <c r="T240" s="4">
        <v>14.452608</v>
      </c>
      <c r="U240" s="4">
        <v>7.1396325999999997</v>
      </c>
      <c r="V240" s="4">
        <v>6.41</v>
      </c>
      <c r="W240" s="4">
        <v>0.16782400000000003</v>
      </c>
      <c r="X240" s="4">
        <v>5.4523055999999999</v>
      </c>
      <c r="Y240" s="4">
        <v>9.4889664000000007</v>
      </c>
      <c r="Z240" s="4">
        <v>2.6605039999999995</v>
      </c>
      <c r="AA240" s="4">
        <v>0.62785919999999995</v>
      </c>
      <c r="AB240" s="4">
        <v>0.27148000000000005</v>
      </c>
      <c r="AC240" s="9">
        <v>1.993433</v>
      </c>
      <c r="AD240" s="23">
        <f t="shared" si="213"/>
        <v>100.40573919999999</v>
      </c>
      <c r="AE240" s="21">
        <f t="shared" si="214"/>
        <v>12.828529707400001</v>
      </c>
      <c r="AF240" s="23">
        <f t="shared" si="215"/>
        <v>0.43106988660395718</v>
      </c>
      <c r="AG240" s="44"/>
      <c r="AH240" s="16">
        <f t="shared" si="216"/>
        <v>49.946675469739176</v>
      </c>
      <c r="AI240" s="16">
        <f t="shared" si="217"/>
        <v>2.6291947622298482</v>
      </c>
      <c r="AJ240" s="16">
        <f t="shared" si="218"/>
        <v>14.685773109135818</v>
      </c>
      <c r="AK240" s="16">
        <f t="shared" si="219"/>
        <v>7.254816877769704</v>
      </c>
      <c r="AL240" s="16">
        <f t="shared" si="220"/>
        <v>6.5134130552465406</v>
      </c>
      <c r="AM240" s="16">
        <f t="shared" si="221"/>
        <v>0.17053151834379027</v>
      </c>
      <c r="AN240" s="16">
        <f t="shared" si="222"/>
        <v>5.5402680930161967</v>
      </c>
      <c r="AO240" s="16">
        <f t="shared" si="223"/>
        <v>9.6420526724736</v>
      </c>
      <c r="AP240" s="16">
        <f t="shared" si="224"/>
        <v>2.7034261290383212</v>
      </c>
      <c r="AQ240" s="16">
        <f t="shared" si="225"/>
        <v>0.63798850392147399</v>
      </c>
      <c r="AR240" s="16">
        <f t="shared" si="226"/>
        <v>0.27585980908554308</v>
      </c>
      <c r="AS240" s="16">
        <f t="shared" si="227"/>
        <v>100.00000000000001</v>
      </c>
      <c r="AT240" s="16">
        <f t="shared" si="228"/>
        <v>13.035493428361505</v>
      </c>
      <c r="AU240" s="44"/>
      <c r="AV240" s="1" t="s">
        <v>261</v>
      </c>
      <c r="AY240" s="69"/>
      <c r="AZ240" s="69">
        <v>341.4</v>
      </c>
      <c r="BA240" s="69"/>
      <c r="BB240" s="69"/>
      <c r="BC240" s="69">
        <v>215.20959999999999</v>
      </c>
      <c r="BD240" s="69"/>
      <c r="BE240" s="69"/>
      <c r="BF240" s="69"/>
      <c r="BG240" s="69">
        <v>92.796800000000005</v>
      </c>
      <c r="BH240" s="69">
        <v>146.10559999999998</v>
      </c>
      <c r="BI240" s="69"/>
      <c r="BJ240" s="69">
        <v>121.42559999999999</v>
      </c>
      <c r="BK240" s="69"/>
      <c r="BL240" s="69"/>
      <c r="BN240" s="69"/>
      <c r="BO240" s="69"/>
      <c r="BP240" s="69"/>
      <c r="BQ240" s="69">
        <v>188.55520000000001</v>
      </c>
      <c r="BR240" s="69"/>
      <c r="BS240" s="69">
        <v>31.4</v>
      </c>
      <c r="BT240" s="69"/>
      <c r="BU240" s="69">
        <v>169.79840000000002</v>
      </c>
      <c r="BV240" s="69"/>
      <c r="CA240" s="9">
        <v>114.5</v>
      </c>
    </row>
    <row r="241" spans="1:98">
      <c r="A241" s="1" t="s">
        <v>251</v>
      </c>
      <c r="B241" s="13">
        <v>342</v>
      </c>
      <c r="C241" s="1" t="s">
        <v>70</v>
      </c>
      <c r="D241" s="63">
        <v>67.950699999999998</v>
      </c>
      <c r="E241" s="63">
        <v>4.9337</v>
      </c>
      <c r="I241" s="68">
        <f>162.5+0.65</f>
        <v>163.15</v>
      </c>
      <c r="J241" s="1" t="s">
        <v>256</v>
      </c>
      <c r="K241" s="1" t="s">
        <v>52</v>
      </c>
      <c r="L241" s="1" t="s">
        <v>864</v>
      </c>
      <c r="M241" s="78" t="s">
        <v>862</v>
      </c>
      <c r="N241" s="78"/>
      <c r="O241" s="7" t="s">
        <v>62</v>
      </c>
      <c r="P241" s="1" t="s">
        <v>262</v>
      </c>
      <c r="Q241" s="1" t="s">
        <v>261</v>
      </c>
      <c r="R241" s="4">
        <v>49.934007199999996</v>
      </c>
      <c r="S241" s="4">
        <v>2.487012</v>
      </c>
      <c r="T241" s="4">
        <v>13.824390799999998</v>
      </c>
      <c r="U241" s="4">
        <v>4.4468902000000003</v>
      </c>
      <c r="V241" s="4">
        <v>8.4499999999999993</v>
      </c>
      <c r="W241" s="4">
        <v>0.18677559999999999</v>
      </c>
      <c r="X241" s="4">
        <v>5.9248816</v>
      </c>
      <c r="Y241" s="4">
        <v>10.782046000000001</v>
      </c>
      <c r="Z241" s="4">
        <v>2.7526927999999997</v>
      </c>
      <c r="AA241" s="4">
        <v>0.37854520000000003</v>
      </c>
      <c r="AB241" s="4">
        <v>0.26967600000000003</v>
      </c>
      <c r="AC241" s="9">
        <v>1.0604849999999999</v>
      </c>
      <c r="AD241" s="23">
        <f t="shared" si="213"/>
        <v>100.49740240000001</v>
      </c>
      <c r="AE241" s="21">
        <f t="shared" si="214"/>
        <v>12.447754289799999</v>
      </c>
      <c r="AF241" s="23">
        <f t="shared" si="215"/>
        <v>0.45903356719163207</v>
      </c>
      <c r="AG241" s="44"/>
      <c r="AH241" s="16">
        <f t="shared" si="216"/>
        <v>50.216769089022456</v>
      </c>
      <c r="AI241" s="16">
        <f t="shared" si="217"/>
        <v>2.5010952320611657</v>
      </c>
      <c r="AJ241" s="16">
        <f t="shared" si="218"/>
        <v>13.902674340144014</v>
      </c>
      <c r="AK241" s="16">
        <f t="shared" si="219"/>
        <v>4.4720716573621377</v>
      </c>
      <c r="AL241" s="16">
        <f t="shared" si="220"/>
        <v>8.4978499142412041</v>
      </c>
      <c r="AM241" s="16">
        <f t="shared" si="221"/>
        <v>0.18783325638371004</v>
      </c>
      <c r="AN241" s="16">
        <f t="shared" si="222"/>
        <v>5.958432496621219</v>
      </c>
      <c r="AO241" s="16">
        <f t="shared" si="223"/>
        <v>10.84310161851417</v>
      </c>
      <c r="AP241" s="16">
        <f t="shared" si="224"/>
        <v>2.7682805058476192</v>
      </c>
      <c r="AQ241" s="16">
        <f t="shared" si="225"/>
        <v>0.38068879234987224</v>
      </c>
      <c r="AR241" s="16">
        <f t="shared" si="226"/>
        <v>0.27120309745241561</v>
      </c>
      <c r="AS241" s="16">
        <f t="shared" si="227"/>
        <v>99.999999999999972</v>
      </c>
      <c r="AT241" s="16">
        <f t="shared" si="228"/>
        <v>12.518242334209766</v>
      </c>
      <c r="AU241" s="44"/>
      <c r="AV241" s="1" t="s">
        <v>261</v>
      </c>
      <c r="AY241" s="69"/>
      <c r="AZ241" s="69">
        <v>351.9</v>
      </c>
      <c r="BA241" s="69"/>
      <c r="BB241" s="69"/>
      <c r="BC241" s="69">
        <v>197.76239999999999</v>
      </c>
      <c r="BD241" s="69"/>
      <c r="BE241" s="69"/>
      <c r="BF241" s="69"/>
      <c r="BG241" s="69">
        <v>73.911199999999994</v>
      </c>
      <c r="BH241" s="69">
        <v>218.73719999999997</v>
      </c>
      <c r="BI241" s="69"/>
      <c r="BJ241" s="69">
        <v>107.87039999999999</v>
      </c>
      <c r="BK241" s="69"/>
      <c r="BL241" s="69"/>
      <c r="BN241" s="69"/>
      <c r="BO241" s="69"/>
      <c r="BP241" s="69"/>
      <c r="BQ241" s="69">
        <v>215.74079999999998</v>
      </c>
      <c r="BR241" s="69"/>
      <c r="BS241" s="69">
        <v>30.7</v>
      </c>
      <c r="BT241" s="69"/>
      <c r="BU241" s="69">
        <v>158.8092</v>
      </c>
      <c r="BV241" s="69"/>
      <c r="CA241" s="9">
        <v>119.8</v>
      </c>
    </row>
    <row r="242" spans="1:98">
      <c r="A242" s="1" t="s">
        <v>251</v>
      </c>
      <c r="B242" s="13">
        <v>342</v>
      </c>
      <c r="C242" s="1" t="s">
        <v>71</v>
      </c>
      <c r="D242" s="63">
        <v>67.950699999999998</v>
      </c>
      <c r="E242" s="63">
        <v>4.9337</v>
      </c>
      <c r="I242" s="68">
        <f>162.5+0.09</f>
        <v>162.59</v>
      </c>
      <c r="J242" s="1" t="s">
        <v>256</v>
      </c>
      <c r="K242" s="1" t="s">
        <v>52</v>
      </c>
      <c r="L242" s="1" t="s">
        <v>864</v>
      </c>
      <c r="M242" s="78" t="s">
        <v>862</v>
      </c>
      <c r="N242" s="78"/>
      <c r="O242" s="7" t="s">
        <v>62</v>
      </c>
      <c r="P242" s="1" t="s">
        <v>262</v>
      </c>
      <c r="Q242" s="1" t="s">
        <v>261</v>
      </c>
      <c r="R242" s="4">
        <v>48.617273599999997</v>
      </c>
      <c r="S242" s="4">
        <v>2.5976143999999999</v>
      </c>
      <c r="T242" s="4">
        <v>14.638864799999999</v>
      </c>
      <c r="U242" s="4">
        <v>7.8458721999999979</v>
      </c>
      <c r="V242" s="4">
        <v>6.11</v>
      </c>
      <c r="W242" s="4">
        <v>0.1582952</v>
      </c>
      <c r="X242" s="4">
        <v>5.4144823999999998</v>
      </c>
      <c r="Y242" s="4">
        <v>8.7357319999999987</v>
      </c>
      <c r="Z242" s="4">
        <v>2.6202279999999996</v>
      </c>
      <c r="AA242" s="4">
        <v>0.7560808</v>
      </c>
      <c r="AB242" s="4">
        <v>0.26939679999999999</v>
      </c>
      <c r="AC242" s="9">
        <v>2.3600430000000001</v>
      </c>
      <c r="AD242" s="23">
        <f t="shared" si="213"/>
        <v>100.12388319999999</v>
      </c>
      <c r="AE242" s="21">
        <f t="shared" si="214"/>
        <v>13.163439107799999</v>
      </c>
      <c r="AF242" s="23">
        <f t="shared" si="215"/>
        <v>0.42306096709484065</v>
      </c>
      <c r="AG242" s="44"/>
      <c r="AH242" s="16">
        <f t="shared" si="216"/>
        <v>49.729300220348755</v>
      </c>
      <c r="AI242" s="16">
        <f t="shared" si="217"/>
        <v>2.6570298329995432</v>
      </c>
      <c r="AJ242" s="16">
        <f t="shared" si="218"/>
        <v>14.973700675068205</v>
      </c>
      <c r="AK242" s="16">
        <f t="shared" si="219"/>
        <v>8.0253314353746088</v>
      </c>
      <c r="AL242" s="16">
        <f t="shared" si="220"/>
        <v>6.2497544976757169</v>
      </c>
      <c r="AM242" s="16">
        <f t="shared" si="221"/>
        <v>0.16191589822593735</v>
      </c>
      <c r="AN242" s="16">
        <f t="shared" si="222"/>
        <v>5.5383282703741417</v>
      </c>
      <c r="AO242" s="16">
        <f t="shared" si="223"/>
        <v>8.9355450666922547</v>
      </c>
      <c r="AP242" s="16">
        <f t="shared" si="224"/>
        <v>2.6801606756032483</v>
      </c>
      <c r="AQ242" s="16">
        <f t="shared" si="225"/>
        <v>0.77337469401084358</v>
      </c>
      <c r="AR242" s="16">
        <f t="shared" si="226"/>
        <v>0.27555873362675048</v>
      </c>
      <c r="AS242" s="16">
        <f t="shared" si="227"/>
        <v>100.00000000000001</v>
      </c>
      <c r="AT242" s="16">
        <f t="shared" si="228"/>
        <v>13.464527458077491</v>
      </c>
      <c r="AU242" s="44"/>
      <c r="AV242" s="1" t="s">
        <v>261</v>
      </c>
      <c r="AY242" s="69"/>
      <c r="AZ242" s="69">
        <v>333.2</v>
      </c>
      <c r="BA242" s="69"/>
      <c r="BB242" s="69"/>
      <c r="BC242" s="69">
        <v>200.5728</v>
      </c>
      <c r="BD242" s="69"/>
      <c r="BE242" s="69"/>
      <c r="BF242" s="69"/>
      <c r="BG242" s="69">
        <v>90.454399999999993</v>
      </c>
      <c r="BH242" s="69">
        <v>229.08559999999997</v>
      </c>
      <c r="BI242" s="69"/>
      <c r="BJ242" s="69">
        <v>107.16879999999999</v>
      </c>
      <c r="BK242" s="69"/>
      <c r="BL242" s="69"/>
      <c r="BN242" s="69"/>
      <c r="BO242" s="69"/>
      <c r="BP242" s="69"/>
      <c r="BQ242" s="69">
        <v>175.99279999999999</v>
      </c>
      <c r="BR242" s="69"/>
      <c r="BS242" s="69">
        <v>29.6</v>
      </c>
      <c r="BT242" s="69"/>
      <c r="BU242" s="69">
        <v>169.11039999999997</v>
      </c>
      <c r="BV242" s="69"/>
      <c r="CA242" s="9">
        <v>108.1</v>
      </c>
    </row>
    <row r="243" spans="1:98">
      <c r="A243" s="1" t="s">
        <v>251</v>
      </c>
      <c r="B243" s="13">
        <v>342</v>
      </c>
      <c r="C243" s="1" t="s">
        <v>72</v>
      </c>
      <c r="D243" s="63">
        <v>67.950699999999998</v>
      </c>
      <c r="E243" s="63">
        <v>4.9337</v>
      </c>
      <c r="I243" s="68">
        <f>164+1.43</f>
        <v>165.43</v>
      </c>
      <c r="J243" s="1" t="s">
        <v>256</v>
      </c>
      <c r="K243" s="1" t="s">
        <v>52</v>
      </c>
      <c r="L243" s="1" t="s">
        <v>864</v>
      </c>
      <c r="M243" s="78" t="s">
        <v>862</v>
      </c>
      <c r="N243" s="78"/>
      <c r="O243" s="7" t="s">
        <v>62</v>
      </c>
      <c r="P243" s="1" t="s">
        <v>262</v>
      </c>
      <c r="Q243" s="1" t="s">
        <v>261</v>
      </c>
      <c r="R243" s="4">
        <v>49.581369000000002</v>
      </c>
      <c r="S243" s="4">
        <v>2.4125850000000004</v>
      </c>
      <c r="T243" s="4">
        <v>13.485501000000001</v>
      </c>
      <c r="U243" s="4">
        <v>4.4846470000000025</v>
      </c>
      <c r="V243" s="4">
        <v>8.69</v>
      </c>
      <c r="W243" s="4">
        <v>0.19480500000000003</v>
      </c>
      <c r="X243" s="4">
        <v>6.2047890000000008</v>
      </c>
      <c r="Y243" s="4">
        <v>10.926062999999999</v>
      </c>
      <c r="Z243" s="4">
        <v>2.6743229999999998</v>
      </c>
      <c r="AA243" s="4">
        <v>0.27172800000000003</v>
      </c>
      <c r="AB243" s="4">
        <v>0.254745</v>
      </c>
      <c r="AC243" s="9">
        <v>1.067197</v>
      </c>
      <c r="AD243" s="23">
        <f t="shared" si="213"/>
        <v>100.24775199999999</v>
      </c>
      <c r="AE243" s="21">
        <f t="shared" si="214"/>
        <v>12.721697653000001</v>
      </c>
      <c r="AF243" s="23">
        <f t="shared" si="215"/>
        <v>0.46509637053050279</v>
      </c>
      <c r="AG243" s="44"/>
      <c r="AH243" s="16">
        <f t="shared" si="216"/>
        <v>49.99101789660282</v>
      </c>
      <c r="AI243" s="16">
        <f t="shared" si="217"/>
        <v>2.4325181483406708</v>
      </c>
      <c r="AJ243" s="16">
        <f t="shared" si="218"/>
        <v>13.596920283416443</v>
      </c>
      <c r="AK243" s="16">
        <f t="shared" si="219"/>
        <v>4.521699843280774</v>
      </c>
      <c r="AL243" s="16">
        <f t="shared" si="220"/>
        <v>8.7617981165763794</v>
      </c>
      <c r="AM243" s="16">
        <f t="shared" si="221"/>
        <v>0.19641450887222806</v>
      </c>
      <c r="AN243" s="16">
        <f t="shared" si="222"/>
        <v>6.2560539210533763</v>
      </c>
      <c r="AO243" s="16">
        <f t="shared" si="223"/>
        <v>11.016335813002861</v>
      </c>
      <c r="AP243" s="16">
        <f t="shared" si="224"/>
        <v>2.6964186679536124</v>
      </c>
      <c r="AQ243" s="16">
        <f t="shared" si="225"/>
        <v>0.2739730585294668</v>
      </c>
      <c r="AR243" s="16">
        <f t="shared" si="226"/>
        <v>0.25684974237137509</v>
      </c>
      <c r="AS243" s="16">
        <f t="shared" si="227"/>
        <v>99.999999999999986</v>
      </c>
      <c r="AT243" s="16">
        <f t="shared" si="228"/>
        <v>12.826806275685795</v>
      </c>
      <c r="AU243" s="44"/>
      <c r="AV243" s="1" t="s">
        <v>261</v>
      </c>
      <c r="AY243" s="69"/>
      <c r="AZ243" s="69">
        <v>318.89999999999998</v>
      </c>
      <c r="BA243" s="69"/>
      <c r="BB243" s="69"/>
      <c r="BC243" s="69">
        <v>200.79900000000001</v>
      </c>
      <c r="BD243" s="69"/>
      <c r="BE243" s="69"/>
      <c r="BF243" s="69"/>
      <c r="BG243" s="69">
        <v>75.924000000000007</v>
      </c>
      <c r="BH243" s="69">
        <v>180.81900000000002</v>
      </c>
      <c r="BI243" s="69"/>
      <c r="BJ243" s="69">
        <v>108.89100000000001</v>
      </c>
      <c r="BK243" s="69"/>
      <c r="BL243" s="69"/>
      <c r="BN243" s="69"/>
      <c r="BO243" s="69"/>
      <c r="BP243" s="69"/>
      <c r="BQ243" s="69">
        <v>211.78800000000004</v>
      </c>
      <c r="BR243" s="69"/>
      <c r="BS243" s="69">
        <v>30.3</v>
      </c>
      <c r="BT243" s="69"/>
      <c r="BU243" s="69">
        <v>150.84900000000002</v>
      </c>
      <c r="BV243" s="69"/>
      <c r="CA243" s="9">
        <v>108.9</v>
      </c>
    </row>
    <row r="244" spans="1:98">
      <c r="A244" s="1" t="s">
        <v>251</v>
      </c>
      <c r="B244" s="13">
        <v>342</v>
      </c>
      <c r="C244" s="1" t="s">
        <v>73</v>
      </c>
      <c r="D244" s="63">
        <v>67.950699999999998</v>
      </c>
      <c r="E244" s="63">
        <v>4.9337</v>
      </c>
      <c r="I244" s="68">
        <f>165.5+1.44</f>
        <v>166.94</v>
      </c>
      <c r="J244" s="1" t="s">
        <v>256</v>
      </c>
      <c r="K244" s="1" t="s">
        <v>52</v>
      </c>
      <c r="L244" s="1" t="s">
        <v>864</v>
      </c>
      <c r="M244" s="78" t="s">
        <v>862</v>
      </c>
      <c r="N244" s="78"/>
      <c r="O244" s="7" t="s">
        <v>62</v>
      </c>
      <c r="P244" s="1" t="s">
        <v>262</v>
      </c>
      <c r="Q244" s="1" t="s">
        <v>261</v>
      </c>
      <c r="R244" s="4">
        <v>48.357054000000005</v>
      </c>
      <c r="S244" s="4">
        <v>2.4138579</v>
      </c>
      <c r="T244" s="4">
        <v>13.575329100000001</v>
      </c>
      <c r="U244" s="4">
        <v>4.0744082000000024</v>
      </c>
      <c r="V244" s="4">
        <v>9.2799999999999994</v>
      </c>
      <c r="W244" s="4">
        <v>0.2027361</v>
      </c>
      <c r="X244" s="4">
        <v>6.2508633000000007</v>
      </c>
      <c r="Y244" s="4">
        <v>10.729034100000002</v>
      </c>
      <c r="Z244" s="4">
        <v>2.7204588000000003</v>
      </c>
      <c r="AA244" s="4">
        <v>0.34155540000000001</v>
      </c>
      <c r="AB244" s="4">
        <v>0.24967500000000001</v>
      </c>
      <c r="AC244" s="9">
        <v>1.1628639999999999</v>
      </c>
      <c r="AD244" s="23">
        <f t="shared" si="213"/>
        <v>99.357835900000026</v>
      </c>
      <c r="AE244" s="21">
        <f t="shared" si="214"/>
        <v>12.942892971800001</v>
      </c>
      <c r="AF244" s="23">
        <f t="shared" si="215"/>
        <v>0.46264930523612507</v>
      </c>
      <c r="AG244" s="44"/>
      <c r="AH244" s="16">
        <f t="shared" si="216"/>
        <v>49.24595736861756</v>
      </c>
      <c r="AI244" s="16">
        <f t="shared" si="217"/>
        <v>2.4582296356866711</v>
      </c>
      <c r="AJ244" s="16">
        <f t="shared" si="218"/>
        <v>13.824871922999142</v>
      </c>
      <c r="AK244" s="16">
        <f t="shared" si="219"/>
        <v>4.1493043087270349</v>
      </c>
      <c r="AL244" s="16">
        <f t="shared" si="220"/>
        <v>9.4505857280050769</v>
      </c>
      <c r="AM244" s="16">
        <f t="shared" si="221"/>
        <v>0.20646281176847098</v>
      </c>
      <c r="AN244" s="16">
        <f t="shared" si="222"/>
        <v>6.3657671864968464</v>
      </c>
      <c r="AO244" s="16">
        <f t="shared" si="223"/>
        <v>10.926256092752137</v>
      </c>
      <c r="AP244" s="16">
        <f t="shared" si="224"/>
        <v>2.7704664988045069</v>
      </c>
      <c r="AQ244" s="16">
        <f t="shared" si="225"/>
        <v>0.34783389962964073</v>
      </c>
      <c r="AR244" s="16">
        <f t="shared" si="226"/>
        <v>0.25426454651289526</v>
      </c>
      <c r="AS244" s="16">
        <f t="shared" si="227"/>
        <v>100</v>
      </c>
      <c r="AT244" s="16">
        <f t="shared" si="228"/>
        <v>13.180810301550682</v>
      </c>
      <c r="AU244" s="44"/>
      <c r="AV244" s="1" t="s">
        <v>261</v>
      </c>
      <c r="AY244" s="69"/>
      <c r="AZ244" s="69">
        <v>319.39999999999998</v>
      </c>
      <c r="BA244" s="69"/>
      <c r="BB244" s="69"/>
      <c r="BC244" s="69">
        <v>187.75560000000002</v>
      </c>
      <c r="BD244" s="69"/>
      <c r="BE244" s="69"/>
      <c r="BF244" s="69"/>
      <c r="BG244" s="69">
        <v>74.902500000000003</v>
      </c>
      <c r="BH244" s="69">
        <v>97.872600000000006</v>
      </c>
      <c r="BI244" s="69"/>
      <c r="BJ244" s="69">
        <v>110.8557</v>
      </c>
      <c r="BK244" s="69"/>
      <c r="BL244" s="69"/>
      <c r="BN244" s="69"/>
      <c r="BO244" s="69"/>
      <c r="BP244" s="69"/>
      <c r="BQ244" s="69">
        <v>211.72440000000003</v>
      </c>
      <c r="BR244" s="69"/>
      <c r="BS244" s="69">
        <v>29.3</v>
      </c>
      <c r="BT244" s="69"/>
      <c r="BU244" s="69">
        <v>151.80240000000001</v>
      </c>
      <c r="BV244" s="69"/>
      <c r="CA244" s="9">
        <v>128.30000000000001</v>
      </c>
    </row>
    <row r="245" spans="1:98">
      <c r="A245" s="1" t="s">
        <v>251</v>
      </c>
      <c r="B245" s="13">
        <v>342</v>
      </c>
      <c r="C245" s="1" t="s">
        <v>74</v>
      </c>
      <c r="D245" s="63">
        <v>67.950699999999998</v>
      </c>
      <c r="E245" s="63">
        <v>4.9337</v>
      </c>
      <c r="I245" s="68">
        <f>165.5+0.55</f>
        <v>166.05</v>
      </c>
      <c r="J245" s="1" t="s">
        <v>256</v>
      </c>
      <c r="K245" s="1" t="s">
        <v>52</v>
      </c>
      <c r="L245" s="1" t="s">
        <v>864</v>
      </c>
      <c r="M245" s="78" t="s">
        <v>862</v>
      </c>
      <c r="N245" s="78"/>
      <c r="O245" s="7" t="s">
        <v>62</v>
      </c>
      <c r="P245" s="1" t="s">
        <v>262</v>
      </c>
      <c r="Q245" s="1" t="s">
        <v>261</v>
      </c>
      <c r="R245" s="4">
        <v>47.561606400000002</v>
      </c>
      <c r="S245" s="4">
        <v>2.7562656000000003</v>
      </c>
      <c r="T245" s="4">
        <v>14.840907200000002</v>
      </c>
      <c r="U245" s="4">
        <v>7.3744219999999991</v>
      </c>
      <c r="V245" s="4">
        <v>6.98</v>
      </c>
      <c r="W245" s="4">
        <v>0.17772960000000002</v>
      </c>
      <c r="X245" s="4">
        <v>5.530984000000001</v>
      </c>
      <c r="Y245" s="4">
        <v>7.9706384000000012</v>
      </c>
      <c r="Z245" s="4">
        <v>2.1172160000000004</v>
      </c>
      <c r="AA245" s="4">
        <v>0.54387200000000002</v>
      </c>
      <c r="AB245" s="4">
        <v>0.27290720000000002</v>
      </c>
      <c r="AC245" s="9">
        <v>3.6568740000000002</v>
      </c>
      <c r="AD245" s="23">
        <f t="shared" si="213"/>
        <v>99.783422400000006</v>
      </c>
      <c r="AE245" s="21">
        <f t="shared" si="214"/>
        <v>13.609605377999999</v>
      </c>
      <c r="AF245" s="23">
        <f t="shared" si="215"/>
        <v>0.4201239833225261</v>
      </c>
      <c r="AG245" s="44"/>
      <c r="AH245" s="16">
        <f t="shared" si="216"/>
        <v>49.478117327262737</v>
      </c>
      <c r="AI245" s="16">
        <f t="shared" si="217"/>
        <v>2.8673302494235822</v>
      </c>
      <c r="AJ245" s="16">
        <f t="shared" si="218"/>
        <v>15.438926547372006</v>
      </c>
      <c r="AK245" s="16">
        <f t="shared" si="219"/>
        <v>7.671576814881246</v>
      </c>
      <c r="AL245" s="16">
        <f t="shared" si="220"/>
        <v>7.2612614477271711</v>
      </c>
      <c r="AM245" s="16">
        <f t="shared" si="221"/>
        <v>0.18489127401145716</v>
      </c>
      <c r="AN245" s="16">
        <f t="shared" si="222"/>
        <v>5.7538568606297744</v>
      </c>
      <c r="AO245" s="16">
        <f t="shared" si="223"/>
        <v>8.2918179552569899</v>
      </c>
      <c r="AP245" s="16">
        <f t="shared" si="224"/>
        <v>2.2025299308468673</v>
      </c>
      <c r="AQ245" s="16">
        <f t="shared" si="225"/>
        <v>0.5657875051716722</v>
      </c>
      <c r="AR245" s="16">
        <f t="shared" si="226"/>
        <v>0.28390408741649981</v>
      </c>
      <c r="AS245" s="16">
        <f t="shared" si="227"/>
        <v>100</v>
      </c>
      <c r="AT245" s="16">
        <f t="shared" si="228"/>
        <v>14.158009004305411</v>
      </c>
      <c r="AU245" s="44"/>
      <c r="AV245" s="1" t="s">
        <v>261</v>
      </c>
      <c r="AY245" s="69">
        <v>41.591106557803336</v>
      </c>
      <c r="AZ245" s="69">
        <v>304.60000000000002</v>
      </c>
      <c r="BA245" s="69"/>
      <c r="BB245" s="69">
        <v>173.25433388565773</v>
      </c>
      <c r="BC245" s="69">
        <v>210.75040000000001</v>
      </c>
      <c r="BD245" s="69">
        <v>45.544316925278046</v>
      </c>
      <c r="BE245" s="69"/>
      <c r="BF245" s="69">
        <v>77.436772519819328</v>
      </c>
      <c r="BG245" s="69">
        <v>83.523200000000003</v>
      </c>
      <c r="BH245" s="69">
        <v>111.68800000000002</v>
      </c>
      <c r="BI245" s="69"/>
      <c r="BJ245" s="69">
        <v>126.256</v>
      </c>
      <c r="BK245" s="69"/>
      <c r="BL245" s="69"/>
      <c r="BN245" s="69">
        <v>8.383802985618523</v>
      </c>
      <c r="BO245" s="69"/>
      <c r="BP245" s="69">
        <v>137.73416984721931</v>
      </c>
      <c r="BQ245" s="69">
        <v>132.08320000000001</v>
      </c>
      <c r="BR245" s="69">
        <v>36.013759980809269</v>
      </c>
      <c r="BS245" s="69">
        <v>28.6</v>
      </c>
      <c r="BT245" s="69">
        <v>190.14458644232099</v>
      </c>
      <c r="BU245" s="69">
        <v>173.84479999999999</v>
      </c>
      <c r="BV245" s="69">
        <v>13.09733956494342</v>
      </c>
      <c r="CA245" s="9">
        <v>92.8</v>
      </c>
      <c r="CB245" s="9">
        <v>14.428277850558455</v>
      </c>
      <c r="CC245" s="9">
        <v>40.998909694229155</v>
      </c>
      <c r="CD245" s="9">
        <v>5.3389497029694173</v>
      </c>
      <c r="CE245" s="9">
        <v>25.973034586061079</v>
      </c>
      <c r="CF245" s="9">
        <v>6.9796894862633936</v>
      </c>
      <c r="CG245" s="9">
        <v>2.0491594997190612</v>
      </c>
      <c r="CH245" s="9">
        <v>7.2150702566122824</v>
      </c>
      <c r="CI245" s="9">
        <v>1.2726529477658499</v>
      </c>
      <c r="CJ245" s="9">
        <v>8.2531559274846824</v>
      </c>
      <c r="CK245" s="9">
        <v>1.6903764748842767</v>
      </c>
      <c r="CL245" s="9">
        <v>4.6787706592274505</v>
      </c>
      <c r="CM245" s="9">
        <v>0.68093703475925227</v>
      </c>
      <c r="CN245" s="9">
        <v>4.1909571410732687</v>
      </c>
      <c r="CO245" s="9">
        <v>0.58804667201071426</v>
      </c>
      <c r="CP245" s="9">
        <v>5.7457559240365086</v>
      </c>
      <c r="CQ245" s="9">
        <v>1.0203145209769597</v>
      </c>
      <c r="CR245" s="9">
        <v>1.721036391104092</v>
      </c>
      <c r="CS245" s="9">
        <v>1.8654184746594737</v>
      </c>
      <c r="CT245" s="9">
        <v>0.33716384454739057</v>
      </c>
    </row>
    <row r="246" spans="1:98">
      <c r="A246" s="56" t="s">
        <v>648</v>
      </c>
      <c r="B246" s="13"/>
      <c r="I246" s="4"/>
      <c r="L246" s="13"/>
      <c r="M246" s="13"/>
      <c r="N246" s="13"/>
      <c r="O246" s="7"/>
      <c r="AD246" s="23"/>
      <c r="AE246" s="23"/>
      <c r="AF246" s="23"/>
      <c r="AG246" s="44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44"/>
      <c r="AY246" s="69"/>
      <c r="AZ246" s="69"/>
      <c r="BA246" s="69"/>
      <c r="BB246" s="69"/>
      <c r="BC246" s="69"/>
      <c r="BD246" s="69"/>
      <c r="BE246" s="69"/>
      <c r="BF246" s="69"/>
      <c r="BG246" s="69"/>
      <c r="BH246" s="69"/>
      <c r="BI246" s="69"/>
      <c r="BJ246" s="69"/>
      <c r="BK246" s="69"/>
      <c r="BL246" s="69"/>
      <c r="BN246" s="69"/>
      <c r="BO246" s="69"/>
      <c r="BP246" s="69"/>
      <c r="BQ246" s="69"/>
      <c r="BR246" s="69"/>
      <c r="BS246" s="69"/>
      <c r="BT246" s="69"/>
      <c r="BU246" s="69"/>
      <c r="BV246" s="69"/>
    </row>
    <row r="247" spans="1:98">
      <c r="A247" s="1" t="s">
        <v>251</v>
      </c>
      <c r="B247" s="13">
        <v>343</v>
      </c>
      <c r="C247" s="1" t="s">
        <v>76</v>
      </c>
      <c r="D247" s="63">
        <v>68.715199999999996</v>
      </c>
      <c r="E247" s="63">
        <v>5.7622</v>
      </c>
      <c r="I247" s="68">
        <f>251.5+1.47</f>
        <v>252.97</v>
      </c>
      <c r="J247" s="1" t="s">
        <v>854</v>
      </c>
      <c r="K247" s="1" t="s">
        <v>52</v>
      </c>
      <c r="L247" s="1" t="s">
        <v>864</v>
      </c>
      <c r="M247" s="78" t="s">
        <v>862</v>
      </c>
      <c r="N247" s="78"/>
      <c r="O247" s="7" t="s">
        <v>75</v>
      </c>
      <c r="P247" s="1" t="s">
        <v>262</v>
      </c>
      <c r="Q247" s="1" t="s">
        <v>261</v>
      </c>
      <c r="R247" s="4">
        <v>47.032049999999998</v>
      </c>
      <c r="S247" s="4">
        <v>2.5973999999999999</v>
      </c>
      <c r="T247" s="4">
        <v>14.126775</v>
      </c>
      <c r="U247" s="4">
        <v>11.554680000000001</v>
      </c>
      <c r="V247" s="4">
        <v>4.6500000000000004</v>
      </c>
      <c r="W247" s="4">
        <v>0.4758</v>
      </c>
      <c r="X247" s="4">
        <v>6.5987999999999998</v>
      </c>
      <c r="Y247" s="4">
        <v>3.9506999999999994</v>
      </c>
      <c r="Z247" s="4">
        <v>3.4524750000000002</v>
      </c>
      <c r="AA247" s="4">
        <v>1.8846750000000001</v>
      </c>
      <c r="AB247" s="4">
        <v>0.33247500000000002</v>
      </c>
      <c r="AC247" s="9">
        <v>3.0175450000000001</v>
      </c>
      <c r="AD247" s="23">
        <f>SUM(R247:AB247)+AC247</f>
        <v>99.673375000000021</v>
      </c>
      <c r="AE247" s="21">
        <f t="shared" ref="AE247:AE250" si="229">V247+0.899*U247</f>
        <v>15.037657320000001</v>
      </c>
      <c r="AF247" s="23">
        <f t="shared" ref="AF247:AF250" si="230">(X247/40.3)/((X247/40.3)+(AE247/71.844))</f>
        <v>0.43892547647754732</v>
      </c>
      <c r="AG247" s="44"/>
      <c r="AH247" s="16">
        <f t="shared" ref="AH247:AR250" si="231">100*R247/SUM($R247:$AB247)</f>
        <v>48.659299702873575</v>
      </c>
      <c r="AI247" s="16">
        <f t="shared" si="231"/>
        <v>2.6872667691126333</v>
      </c>
      <c r="AJ247" s="16">
        <f t="shared" si="231"/>
        <v>14.615543625252608</v>
      </c>
      <c r="AK247" s="16">
        <f t="shared" si="231"/>
        <v>11.954457377273567</v>
      </c>
      <c r="AL247" s="16">
        <f t="shared" si="231"/>
        <v>4.8108841442880363</v>
      </c>
      <c r="AM247" s="16">
        <f t="shared" si="231"/>
        <v>0.49226208082844031</v>
      </c>
      <c r="AN247" s="16">
        <f t="shared" si="231"/>
        <v>6.8271101701780417</v>
      </c>
      <c r="AO247" s="16">
        <f t="shared" si="231"/>
        <v>4.0873892449115576</v>
      </c>
      <c r="AP247" s="16">
        <f t="shared" si="231"/>
        <v>3.5719262873227606</v>
      </c>
      <c r="AQ247" s="16">
        <f t="shared" si="231"/>
        <v>1.9498823816421622</v>
      </c>
      <c r="AR247" s="16">
        <f t="shared" si="231"/>
        <v>0.34397821631659459</v>
      </c>
      <c r="AS247" s="16">
        <f>SUM(AH247:AR247)</f>
        <v>100</v>
      </c>
      <c r="AT247" s="16">
        <f>AL247+0.899*AK247</f>
        <v>15.557941326456973</v>
      </c>
      <c r="AU247" s="44"/>
      <c r="AV247" s="1" t="s">
        <v>261</v>
      </c>
      <c r="AY247" s="69">
        <v>38.290382513679027</v>
      </c>
      <c r="AZ247" s="69">
        <v>648.9</v>
      </c>
      <c r="BA247" s="69"/>
      <c r="BB247" s="69">
        <v>23.897945973225454</v>
      </c>
      <c r="BC247" s="69">
        <v>69.224999999999994</v>
      </c>
      <c r="BD247" s="69">
        <v>47.407176816192802</v>
      </c>
      <c r="BE247" s="69"/>
      <c r="BF247" s="69">
        <v>24.831302701670992</v>
      </c>
      <c r="BG247" s="69">
        <v>34.125</v>
      </c>
      <c r="BH247" s="69">
        <v>133.57499999999999</v>
      </c>
      <c r="BI247" s="69"/>
      <c r="BJ247" s="69">
        <v>136.5</v>
      </c>
      <c r="BK247" s="69"/>
      <c r="BL247" s="69"/>
      <c r="BN247" s="69">
        <v>10.037273347170258</v>
      </c>
      <c r="BO247" s="69"/>
      <c r="BP247" s="69">
        <v>168.43146618545478</v>
      </c>
      <c r="BQ247" s="69">
        <v>169.65</v>
      </c>
      <c r="BR247" s="69">
        <v>42.583922428872114</v>
      </c>
      <c r="BS247" s="69">
        <v>33.299999999999997</v>
      </c>
      <c r="BT247" s="69">
        <v>177.631371896182</v>
      </c>
      <c r="BU247" s="69">
        <v>166.72499999999999</v>
      </c>
      <c r="BV247" s="69">
        <v>14.86145069659228</v>
      </c>
      <c r="CA247" s="9">
        <v>267.8</v>
      </c>
      <c r="CB247" s="9">
        <v>17.052716639006384</v>
      </c>
      <c r="CC247" s="9">
        <v>46.123314982708827</v>
      </c>
      <c r="CD247" s="9">
        <v>6.1530919008614795</v>
      </c>
      <c r="CE247" s="9">
        <v>29.76271805415757</v>
      </c>
      <c r="CF247" s="9">
        <v>7.7923304103397424</v>
      </c>
      <c r="CG247" s="9">
        <v>2.4076537167420105</v>
      </c>
      <c r="CH247" s="9">
        <v>8.318578792318176</v>
      </c>
      <c r="CI247" s="9">
        <v>1.4938474404655437</v>
      </c>
      <c r="CJ247" s="9">
        <v>10.168208134165527</v>
      </c>
      <c r="CK247" s="9">
        <v>2.1917484532046609</v>
      </c>
      <c r="CL247" s="9">
        <v>6.3702463703727492</v>
      </c>
      <c r="CM247" s="9">
        <v>0.94445324784782003</v>
      </c>
      <c r="CN247" s="9">
        <v>5.7635484442201479</v>
      </c>
      <c r="CO247" s="9">
        <v>0.80406391646172937</v>
      </c>
      <c r="CP247" s="9">
        <v>5.746293952805936</v>
      </c>
      <c r="CQ247" s="9">
        <v>1.1718509193693969</v>
      </c>
      <c r="CR247" s="9">
        <v>1.4526531360860586</v>
      </c>
      <c r="CS247" s="9">
        <v>1.4157565878566893</v>
      </c>
      <c r="CT247" s="9">
        <v>0.39104925239963972</v>
      </c>
    </row>
    <row r="248" spans="1:98">
      <c r="A248" s="1" t="s">
        <v>251</v>
      </c>
      <c r="B248" s="13">
        <v>343</v>
      </c>
      <c r="C248" s="1" t="s">
        <v>78</v>
      </c>
      <c r="D248" s="63">
        <v>68.715199999999996</v>
      </c>
      <c r="E248" s="63">
        <v>5.7622</v>
      </c>
      <c r="I248" s="68">
        <f>253.5+1.47</f>
        <v>254.97</v>
      </c>
      <c r="J248" s="1" t="s">
        <v>256</v>
      </c>
      <c r="K248" s="1" t="s">
        <v>52</v>
      </c>
      <c r="L248" s="1" t="s">
        <v>864</v>
      </c>
      <c r="M248" s="78" t="s">
        <v>862</v>
      </c>
      <c r="N248" s="78"/>
      <c r="O248" s="7" t="s">
        <v>77</v>
      </c>
      <c r="P248" s="1" t="s">
        <v>262</v>
      </c>
      <c r="Q248" s="1" t="s">
        <v>261</v>
      </c>
      <c r="R248" s="4">
        <v>45.450040000000008</v>
      </c>
      <c r="S248" s="4">
        <v>2.7092209999999999</v>
      </c>
      <c r="T248" s="4">
        <v>14.089317000000001</v>
      </c>
      <c r="U248" s="4">
        <v>13.052285999999999</v>
      </c>
      <c r="V248" s="4">
        <v>4.71</v>
      </c>
      <c r="W248" s="4">
        <v>0.46407500000000002</v>
      </c>
      <c r="X248" s="4">
        <v>6.7285989999999991</v>
      </c>
      <c r="Y248" s="4">
        <v>4.4160399999999997</v>
      </c>
      <c r="Z248" s="4">
        <v>3.6432330000000004</v>
      </c>
      <c r="AA248" s="4">
        <v>0.90763300000000002</v>
      </c>
      <c r="AB248" s="4">
        <v>0.32338700000000004</v>
      </c>
      <c r="AC248" s="9">
        <v>2.8242229999999999</v>
      </c>
      <c r="AD248" s="23">
        <f>SUM(R248:AB248)+AC248</f>
        <v>99.318053999999989</v>
      </c>
      <c r="AE248" s="21">
        <f t="shared" si="229"/>
        <v>16.444005113999999</v>
      </c>
      <c r="AF248" s="23">
        <f t="shared" si="230"/>
        <v>0.42178540695756594</v>
      </c>
      <c r="AG248" s="44"/>
      <c r="AH248" s="16">
        <f t="shared" si="231"/>
        <v>47.101498125823213</v>
      </c>
      <c r="AI248" s="16">
        <f t="shared" si="231"/>
        <v>2.8076623882826253</v>
      </c>
      <c r="AJ248" s="16">
        <f t="shared" si="231"/>
        <v>14.60126191901325</v>
      </c>
      <c r="AK248" s="16">
        <f t="shared" si="231"/>
        <v>13.526549692073063</v>
      </c>
      <c r="AL248" s="16">
        <f t="shared" si="231"/>
        <v>4.8811410544991221</v>
      </c>
      <c r="AM248" s="16">
        <f t="shared" si="231"/>
        <v>0.48093748086341404</v>
      </c>
      <c r="AN248" s="16">
        <f t="shared" si="231"/>
        <v>6.9730872225396467</v>
      </c>
      <c r="AO248" s="16">
        <f t="shared" si="231"/>
        <v>4.5764998179002765</v>
      </c>
      <c r="AP248" s="16">
        <f t="shared" si="231"/>
        <v>3.7756123497677283</v>
      </c>
      <c r="AQ248" s="16">
        <f t="shared" si="231"/>
        <v>0.94061246257286657</v>
      </c>
      <c r="AR248" s="16">
        <f t="shared" si="231"/>
        <v>0.33513748666482118</v>
      </c>
      <c r="AS248" s="16">
        <f>SUM(AH248:AR248)</f>
        <v>100.00000000000003</v>
      </c>
      <c r="AT248" s="16">
        <f>AL248+0.899*AK248</f>
        <v>17.041509227672805</v>
      </c>
      <c r="AU248" s="44"/>
      <c r="AV248" s="1" t="s">
        <v>261</v>
      </c>
      <c r="AY248" s="69"/>
      <c r="AZ248" s="69">
        <v>636.20000000000005</v>
      </c>
      <c r="BA248" s="69"/>
      <c r="BB248" s="69"/>
      <c r="BC248" s="69">
        <v>67.412999999999997</v>
      </c>
      <c r="BD248" s="69"/>
      <c r="BE248" s="69"/>
      <c r="BF248" s="69"/>
      <c r="BG248" s="69">
        <v>30.287000000000003</v>
      </c>
      <c r="BH248" s="69">
        <v>189.53799999999998</v>
      </c>
      <c r="BI248" s="69"/>
      <c r="BJ248" s="69">
        <v>133.84899999999999</v>
      </c>
      <c r="BK248" s="69"/>
      <c r="BL248" s="69"/>
      <c r="BN248" s="69"/>
      <c r="BO248" s="69"/>
      <c r="BP248" s="69"/>
      <c r="BQ248" s="69">
        <v>212.00900000000001</v>
      </c>
      <c r="BR248" s="69"/>
      <c r="BS248" s="69">
        <v>30.2</v>
      </c>
      <c r="BT248" s="69"/>
      <c r="BU248" s="69">
        <v>155.34300000000002</v>
      </c>
      <c r="BV248" s="69"/>
      <c r="CA248" s="9">
        <v>510.2</v>
      </c>
    </row>
    <row r="249" spans="1:98">
      <c r="A249" s="1" t="s">
        <v>251</v>
      </c>
      <c r="B249" s="13">
        <v>343</v>
      </c>
      <c r="C249" s="1" t="s">
        <v>79</v>
      </c>
      <c r="D249" s="63">
        <v>68.715199999999996</v>
      </c>
      <c r="E249" s="63">
        <v>5.7622</v>
      </c>
      <c r="I249" s="68">
        <f>253.5+0.24</f>
        <v>253.74</v>
      </c>
      <c r="J249" s="1" t="s">
        <v>256</v>
      </c>
      <c r="K249" s="1" t="s">
        <v>52</v>
      </c>
      <c r="L249" s="1" t="s">
        <v>864</v>
      </c>
      <c r="M249" s="78" t="s">
        <v>862</v>
      </c>
      <c r="N249" s="78"/>
      <c r="O249" s="7" t="s">
        <v>717</v>
      </c>
      <c r="P249" s="1" t="s">
        <v>262</v>
      </c>
      <c r="Q249" s="1" t="s">
        <v>261</v>
      </c>
      <c r="R249" s="4">
        <v>45.421241600000002</v>
      </c>
      <c r="S249" s="4">
        <v>2.6847296000000007</v>
      </c>
      <c r="T249" s="4">
        <v>13.834576000000002</v>
      </c>
      <c r="U249" s="4">
        <v>12.2263112</v>
      </c>
      <c r="V249" s="4">
        <v>5.24</v>
      </c>
      <c r="W249" s="4">
        <v>0.50778960000000006</v>
      </c>
      <c r="X249" s="4">
        <v>6.5973512000000003</v>
      </c>
      <c r="Y249" s="4">
        <v>4.8176416000000009</v>
      </c>
      <c r="Z249" s="4">
        <v>3.5124560000000002</v>
      </c>
      <c r="AA249" s="4">
        <v>1.1398360000000001</v>
      </c>
      <c r="AB249" s="4">
        <v>0.30917440000000002</v>
      </c>
      <c r="AC249" s="9">
        <v>2.7432120000000002</v>
      </c>
      <c r="AD249" s="23">
        <f>SUM(R249:AB249)+AC249</f>
        <v>99.034319199999999</v>
      </c>
      <c r="AE249" s="21">
        <f t="shared" si="229"/>
        <v>16.231453768800002</v>
      </c>
      <c r="AF249" s="23">
        <f t="shared" si="230"/>
        <v>0.42015501293609514</v>
      </c>
      <c r="AG249" s="44"/>
      <c r="AH249" s="16">
        <f t="shared" si="231"/>
        <v>47.170754310321193</v>
      </c>
      <c r="AI249" s="16">
        <f t="shared" si="231"/>
        <v>2.7881386745545704</v>
      </c>
      <c r="AJ249" s="16">
        <f t="shared" si="231"/>
        <v>14.36744929234753</v>
      </c>
      <c r="AK249" s="16">
        <f t="shared" si="231"/>
        <v>12.697238151603683</v>
      </c>
      <c r="AL249" s="16">
        <f t="shared" si="231"/>
        <v>5.4418317042677025</v>
      </c>
      <c r="AM249" s="16">
        <f t="shared" si="231"/>
        <v>0.52734838633156778</v>
      </c>
      <c r="AN249" s="16">
        <f t="shared" si="231"/>
        <v>6.851464680219193</v>
      </c>
      <c r="AO249" s="16">
        <f t="shared" si="231"/>
        <v>5.0032051142517142</v>
      </c>
      <c r="AP249" s="16">
        <f t="shared" si="231"/>
        <v>3.6477470268407095</v>
      </c>
      <c r="AQ249" s="16">
        <f t="shared" si="231"/>
        <v>1.1837396340583362</v>
      </c>
      <c r="AR249" s="16">
        <f t="shared" si="231"/>
        <v>0.32108302520380616</v>
      </c>
      <c r="AS249" s="16">
        <f>SUM(AH249:AR249)</f>
        <v>100</v>
      </c>
      <c r="AT249" s="16">
        <f>AL249+0.899*AK249</f>
        <v>16.856648802559413</v>
      </c>
      <c r="AU249" s="44"/>
      <c r="AV249" s="1" t="s">
        <v>261</v>
      </c>
      <c r="AY249" s="69">
        <v>39.503330761562367</v>
      </c>
      <c r="AZ249" s="69">
        <v>656.3</v>
      </c>
      <c r="BA249" s="69"/>
      <c r="BB249" s="69">
        <v>25.54859010867326</v>
      </c>
      <c r="BC249" s="69">
        <v>64.574400000000011</v>
      </c>
      <c r="BD249" s="69">
        <v>66.59353912636054</v>
      </c>
      <c r="BE249" s="69"/>
      <c r="BF249" s="69">
        <v>27.593247808056166</v>
      </c>
      <c r="BG249" s="69">
        <v>34.244</v>
      </c>
      <c r="BH249" s="69">
        <v>215.24799999999999</v>
      </c>
      <c r="BI249" s="69"/>
      <c r="BJ249" s="69">
        <v>135.01920000000001</v>
      </c>
      <c r="BK249" s="69"/>
      <c r="BL249" s="69"/>
      <c r="BN249" s="69">
        <v>5.9991541500868992</v>
      </c>
      <c r="BO249" s="69"/>
      <c r="BP249" s="69">
        <v>180.17106979763452</v>
      </c>
      <c r="BQ249" s="69">
        <v>183.93920000000003</v>
      </c>
      <c r="BR249" s="69">
        <v>36.811602448894497</v>
      </c>
      <c r="BS249" s="69">
        <v>28.6</v>
      </c>
      <c r="BT249" s="69">
        <v>160.43451927820925</v>
      </c>
      <c r="BU249" s="69">
        <v>145.7816</v>
      </c>
      <c r="BV249" s="69">
        <v>13.478667334112194</v>
      </c>
      <c r="CA249" s="9">
        <v>316.7</v>
      </c>
      <c r="CB249" s="9">
        <v>15.749534072120419</v>
      </c>
      <c r="CC249" s="9">
        <v>42.17760919446178</v>
      </c>
      <c r="CD249" s="9">
        <v>5.5748347715294564</v>
      </c>
      <c r="CE249" s="9">
        <v>26.725734088559012</v>
      </c>
      <c r="CF249" s="9">
        <v>6.9204444590427903</v>
      </c>
      <c r="CG249" s="9">
        <v>2.2499346456299762</v>
      </c>
      <c r="CH249" s="9">
        <v>7.3464013657713476</v>
      </c>
      <c r="CI249" s="9">
        <v>1.3065737115063334</v>
      </c>
      <c r="CJ249" s="9">
        <v>8.8987603219372318</v>
      </c>
      <c r="CK249" s="9">
        <v>1.9110110588277205</v>
      </c>
      <c r="CL249" s="9">
        <v>5.668878409999289</v>
      </c>
      <c r="CM249" s="9">
        <v>0.86023580337894268</v>
      </c>
      <c r="CN249" s="9">
        <v>5.363024563995638</v>
      </c>
      <c r="CO249" s="9">
        <v>0.75759169002987392</v>
      </c>
      <c r="CP249" s="9">
        <v>5.3354820381778731</v>
      </c>
      <c r="CQ249" s="9">
        <v>1.099436833990397</v>
      </c>
      <c r="CR249" s="9">
        <v>1.1596608519527254</v>
      </c>
      <c r="CS249" s="9">
        <v>1.2901057352021836</v>
      </c>
      <c r="CT249" s="9">
        <v>0.36699238004075219</v>
      </c>
    </row>
    <row r="250" spans="1:98">
      <c r="A250" s="1" t="s">
        <v>251</v>
      </c>
      <c r="B250" s="13">
        <v>343</v>
      </c>
      <c r="C250" s="1" t="s">
        <v>81</v>
      </c>
      <c r="D250" s="63">
        <v>68.715199999999996</v>
      </c>
      <c r="E250" s="63">
        <v>5.7622</v>
      </c>
      <c r="I250" s="68">
        <f>281.5+1.24</f>
        <v>282.74</v>
      </c>
      <c r="J250" s="1" t="s">
        <v>256</v>
      </c>
      <c r="K250" s="1" t="s">
        <v>52</v>
      </c>
      <c r="L250" s="1" t="s">
        <v>864</v>
      </c>
      <c r="M250" s="78" t="s">
        <v>862</v>
      </c>
      <c r="N250" s="78"/>
      <c r="O250" s="7" t="s">
        <v>80</v>
      </c>
      <c r="P250" s="1" t="s">
        <v>262</v>
      </c>
      <c r="Q250" s="1" t="s">
        <v>261</v>
      </c>
      <c r="R250" s="4">
        <v>46.649009</v>
      </c>
      <c r="S250" s="4">
        <v>2.1840120000000001</v>
      </c>
      <c r="T250" s="4">
        <v>13.823269499999999</v>
      </c>
      <c r="U250" s="4">
        <v>12.106617499999999</v>
      </c>
      <c r="V250" s="4">
        <v>3.79</v>
      </c>
      <c r="W250" s="4">
        <v>0.28670049999999997</v>
      </c>
      <c r="X250" s="4">
        <v>8.7487685000000006</v>
      </c>
      <c r="Y250" s="4">
        <v>5.625396499999999</v>
      </c>
      <c r="Z250" s="4">
        <v>3.3347279999999997</v>
      </c>
      <c r="AA250" s="4">
        <v>0.21918399999999999</v>
      </c>
      <c r="AB250" s="4">
        <v>0.22896899999999998</v>
      </c>
      <c r="AC250" s="9">
        <v>2.5718269999999999</v>
      </c>
      <c r="AD250" s="23">
        <f>SUM(R250:AB250)+AC250</f>
        <v>99.56848149999999</v>
      </c>
      <c r="AE250" s="21">
        <f t="shared" si="229"/>
        <v>14.673849132499999</v>
      </c>
      <c r="AF250" s="23">
        <f t="shared" si="230"/>
        <v>0.51524318528715418</v>
      </c>
      <c r="AG250" s="44"/>
      <c r="AH250" s="16">
        <f t="shared" si="231"/>
        <v>48.093420582871751</v>
      </c>
      <c r="AI250" s="16">
        <f t="shared" si="231"/>
        <v>2.2516364211303808</v>
      </c>
      <c r="AJ250" s="16">
        <f t="shared" si="231"/>
        <v>14.251284821374949</v>
      </c>
      <c r="AK250" s="16">
        <f t="shared" si="231"/>
        <v>12.481479451438192</v>
      </c>
      <c r="AL250" s="16">
        <f t="shared" si="231"/>
        <v>3.9073512581817966</v>
      </c>
      <c r="AM250" s="16">
        <f t="shared" si="231"/>
        <v>0.29557772015734829</v>
      </c>
      <c r="AN250" s="16">
        <f t="shared" si="231"/>
        <v>9.0196600543578569</v>
      </c>
      <c r="AO250" s="16">
        <f t="shared" si="231"/>
        <v>5.7995778606982782</v>
      </c>
      <c r="AP250" s="16">
        <f t="shared" si="231"/>
        <v>3.4379824924786448</v>
      </c>
      <c r="AQ250" s="16">
        <f t="shared" si="231"/>
        <v>0.22597068025681236</v>
      </c>
      <c r="AR250" s="16">
        <f t="shared" si="231"/>
        <v>0.23605865705399148</v>
      </c>
      <c r="AS250" s="16">
        <f>SUM(AH250:AR250)</f>
        <v>99.999999999999986</v>
      </c>
      <c r="AT250" s="16">
        <f>AL250+0.899*AK250</f>
        <v>15.128201285024732</v>
      </c>
      <c r="AU250" s="44"/>
      <c r="AV250" s="1" t="s">
        <v>261</v>
      </c>
      <c r="AY250" s="69">
        <v>40.966041142711667</v>
      </c>
      <c r="AZ250" s="69">
        <v>553</v>
      </c>
      <c r="BA250" s="69"/>
      <c r="BB250" s="69">
        <v>57.808132549660371</v>
      </c>
      <c r="BC250" s="69">
        <v>92.957499999999996</v>
      </c>
      <c r="BD250" s="69">
        <v>45.267444731316345</v>
      </c>
      <c r="BE250" s="69"/>
      <c r="BF250" s="69">
        <v>37.736434510724337</v>
      </c>
      <c r="BG250" s="69">
        <v>48.924999999999997</v>
      </c>
      <c r="BH250" s="69">
        <v>172.21599999999998</v>
      </c>
      <c r="BI250" s="69"/>
      <c r="BJ250" s="69">
        <v>118.39849999999998</v>
      </c>
      <c r="BK250" s="69"/>
      <c r="BL250" s="69"/>
      <c r="BN250" s="69">
        <v>2.1441467639316882</v>
      </c>
      <c r="BO250" s="69"/>
      <c r="BP250" s="69">
        <v>154.21546638015954</v>
      </c>
      <c r="BQ250" s="69">
        <v>156.56</v>
      </c>
      <c r="BR250" s="69">
        <v>46.039074435586599</v>
      </c>
      <c r="BS250" s="69">
        <v>37.200000000000003</v>
      </c>
      <c r="BT250" s="69">
        <v>119.40533004260784</v>
      </c>
      <c r="BU250" s="69">
        <v>113.50599999999999</v>
      </c>
      <c r="BV250" s="69">
        <v>9.7574279819537608</v>
      </c>
      <c r="CA250" s="9">
        <v>41.1</v>
      </c>
      <c r="CB250" s="9">
        <v>11.177677067475638</v>
      </c>
      <c r="CC250" s="9">
        <v>31.23659772297982</v>
      </c>
      <c r="CD250" s="9">
        <v>4.4091846633995821</v>
      </c>
      <c r="CE250" s="9">
        <v>22.307962924013673</v>
      </c>
      <c r="CF250" s="9">
        <v>6.5016073390018727</v>
      </c>
      <c r="CG250" s="9">
        <v>2.1768917867315816</v>
      </c>
      <c r="CH250" s="9">
        <v>7.4593596174000609</v>
      </c>
      <c r="CI250" s="9">
        <v>1.4241511081027847</v>
      </c>
      <c r="CJ250" s="9">
        <v>10.10988113726459</v>
      </c>
      <c r="CK250" s="9">
        <v>2.2733455716433193</v>
      </c>
      <c r="CL250" s="9">
        <v>6.7578860016566473</v>
      </c>
      <c r="CM250" s="9">
        <v>1.0015958083182674</v>
      </c>
      <c r="CN250" s="9">
        <v>6.1196466215569361</v>
      </c>
      <c r="CO250" s="9">
        <v>0.89146137120951441</v>
      </c>
      <c r="CP250" s="9">
        <v>3.9057616966082991</v>
      </c>
      <c r="CQ250" s="9">
        <v>0.69317258732421883</v>
      </c>
      <c r="CR250" s="9">
        <v>0.80841022064957402</v>
      </c>
      <c r="CS250" s="9">
        <v>0.75984402701594778</v>
      </c>
      <c r="CT250" s="9">
        <v>0.26226654696397983</v>
      </c>
    </row>
    <row r="251" spans="1:98">
      <c r="A251" s="57" t="s">
        <v>246</v>
      </c>
      <c r="B251" s="13"/>
      <c r="L251" s="13"/>
      <c r="M251" s="13"/>
      <c r="N251" s="13"/>
      <c r="O251" s="7"/>
      <c r="AD251" s="23"/>
      <c r="AE251" s="23"/>
      <c r="AF251" s="23"/>
      <c r="AG251" s="44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44"/>
      <c r="AY251" s="69"/>
      <c r="AZ251" s="69"/>
      <c r="BA251" s="69"/>
      <c r="BB251" s="69"/>
      <c r="BC251" s="69"/>
      <c r="BD251" s="69"/>
      <c r="BE251" s="69"/>
      <c r="BF251" s="69"/>
      <c r="BG251" s="69"/>
      <c r="BH251" s="69"/>
      <c r="BI251" s="69"/>
      <c r="BJ251" s="69"/>
      <c r="BK251" s="69"/>
      <c r="BL251" s="69"/>
      <c r="BN251" s="69"/>
      <c r="BO251" s="69"/>
      <c r="BP251" s="69"/>
      <c r="BQ251" s="69"/>
      <c r="BR251" s="69"/>
      <c r="BS251" s="69"/>
      <c r="BT251" s="69"/>
      <c r="BU251" s="69"/>
      <c r="BV251" s="69"/>
    </row>
    <row r="252" spans="1:98">
      <c r="A252" s="4" t="s">
        <v>246</v>
      </c>
      <c r="B252" s="1" t="s">
        <v>405</v>
      </c>
      <c r="C252" s="54" t="s">
        <v>408</v>
      </c>
      <c r="E252" s="61"/>
      <c r="F252" s="1" t="s">
        <v>247</v>
      </c>
      <c r="J252" s="1" t="s">
        <v>406</v>
      </c>
      <c r="K252" s="1" t="s">
        <v>52</v>
      </c>
      <c r="L252" s="4" t="s">
        <v>404</v>
      </c>
      <c r="M252" s="78" t="s">
        <v>865</v>
      </c>
      <c r="N252" s="78"/>
      <c r="R252" s="29">
        <v>48.21</v>
      </c>
      <c r="S252" s="29">
        <v>2.8</v>
      </c>
      <c r="T252" s="29">
        <v>14.51</v>
      </c>
      <c r="U252" s="29"/>
      <c r="V252" s="29">
        <v>14.16</v>
      </c>
      <c r="W252" s="29">
        <v>0.2</v>
      </c>
      <c r="X252" s="29">
        <v>4.03</v>
      </c>
      <c r="Y252" s="29">
        <v>9.67</v>
      </c>
      <c r="Z252" s="29">
        <v>2.8</v>
      </c>
      <c r="AA252" s="29">
        <v>0.64</v>
      </c>
      <c r="AB252" s="29">
        <v>0.32</v>
      </c>
      <c r="AC252" s="9">
        <v>0.32</v>
      </c>
      <c r="AD252" s="23">
        <f t="shared" ref="AD252:AD273" si="232">SUM(R252:AB252)+AC252</f>
        <v>97.659999999999982</v>
      </c>
      <c r="AE252" s="21">
        <f t="shared" ref="AE252:AE273" si="233">V252+0.899*U252</f>
        <v>14.16</v>
      </c>
      <c r="AF252" s="23">
        <f t="shared" ref="AF252:AF273" si="234">(X252/40.3)/((X252/40.3)+(AE252/71.844))</f>
        <v>0.33659414178894698</v>
      </c>
      <c r="AH252" s="16">
        <f t="shared" ref="AH252:AH273" si="235">100*R252/SUM($R252:$AB252)</f>
        <v>49.527429628107669</v>
      </c>
      <c r="AI252" s="16">
        <f t="shared" ref="AI252:AI273" si="236">100*S252/SUM($R252:$AB252)</f>
        <v>2.8765153071707421</v>
      </c>
      <c r="AJ252" s="16">
        <f t="shared" ref="AJ252:AJ273" si="237">100*T252/SUM($R252:$AB252)</f>
        <v>14.906513252516952</v>
      </c>
      <c r="AK252" s="16">
        <f t="shared" ref="AK252:AK273" si="238">100*U252/SUM($R252:$AB252)</f>
        <v>0</v>
      </c>
      <c r="AL252" s="16">
        <f t="shared" ref="AL252:AL273" si="239">100*V252/SUM($R252:$AB252)</f>
        <v>14.54694883912061</v>
      </c>
      <c r="AM252" s="16">
        <f t="shared" ref="AM252:AM273" si="240">100*W252/SUM($R252:$AB252)</f>
        <v>0.20546537908362444</v>
      </c>
      <c r="AN252" s="16">
        <f t="shared" ref="AN252:AN273" si="241">100*X252/SUM($R252:$AB252)</f>
        <v>4.1401273885350323</v>
      </c>
      <c r="AO252" s="16">
        <f t="shared" ref="AO252:AO273" si="242">100*Y252/SUM($R252:$AB252)</f>
        <v>9.9342510786932419</v>
      </c>
      <c r="AP252" s="16">
        <f t="shared" ref="AP252:AP273" si="243">100*Z252/SUM($R252:$AB252)</f>
        <v>2.8765153071707421</v>
      </c>
      <c r="AQ252" s="16">
        <f t="shared" ref="AQ252:AQ273" si="244">100*AA252/SUM($R252:$AB252)</f>
        <v>0.65748921306759822</v>
      </c>
      <c r="AR252" s="16">
        <f t="shared" ref="AR252:AR273" si="245">100*AB252/SUM($R252:$AB252)</f>
        <v>0.32874460653379911</v>
      </c>
      <c r="AS252" s="16">
        <f t="shared" ref="AS252:AS273" si="246">SUM(AH252:AR252)</f>
        <v>100.00000000000001</v>
      </c>
      <c r="AT252" s="16">
        <f t="shared" ref="AT252:AT273" si="247">AL252+0.899*AK252</f>
        <v>14.54694883912061</v>
      </c>
      <c r="AY252" s="70">
        <v>33.9</v>
      </c>
      <c r="AZ252" s="71">
        <v>402</v>
      </c>
      <c r="BA252" s="70"/>
      <c r="BB252" s="70">
        <v>34.1</v>
      </c>
      <c r="BC252" s="34"/>
      <c r="BD252" s="71">
        <v>156</v>
      </c>
      <c r="BE252" s="70"/>
      <c r="BF252" s="70">
        <v>40.700000000000003</v>
      </c>
      <c r="BG252" s="34"/>
      <c r="BH252" s="70">
        <v>313</v>
      </c>
      <c r="BI252" s="70"/>
      <c r="BJ252" s="71">
        <v>126</v>
      </c>
      <c r="BK252" s="70"/>
      <c r="BL252" s="70">
        <v>23.1</v>
      </c>
      <c r="BM252" s="19"/>
      <c r="BN252" s="70">
        <v>9.1999999999999993</v>
      </c>
      <c r="BO252" s="70"/>
      <c r="BP252" s="70">
        <v>285</v>
      </c>
      <c r="BQ252" s="34"/>
      <c r="BR252" s="70">
        <v>38.200000000000003</v>
      </c>
      <c r="BS252" s="34"/>
      <c r="BT252" s="70">
        <v>192</v>
      </c>
      <c r="BU252" s="34"/>
      <c r="BV252" s="70">
        <v>18.7</v>
      </c>
      <c r="BW252" s="19"/>
      <c r="BX252" s="70">
        <v>3.43</v>
      </c>
      <c r="BY252" s="70">
        <v>1.27</v>
      </c>
      <c r="BZ252" s="70">
        <v>0.08</v>
      </c>
      <c r="CB252" s="19">
        <v>20.100000000000001</v>
      </c>
      <c r="CC252" s="19">
        <v>45.4</v>
      </c>
      <c r="CD252" s="19">
        <v>6.5</v>
      </c>
      <c r="CE252" s="19">
        <v>29.5</v>
      </c>
      <c r="CF252" s="19">
        <v>7.34</v>
      </c>
      <c r="CG252" s="19">
        <v>2.37</v>
      </c>
      <c r="CH252" s="19">
        <v>8</v>
      </c>
      <c r="CI252" s="19">
        <v>1.26</v>
      </c>
      <c r="CJ252" s="19">
        <v>7.31</v>
      </c>
      <c r="CK252" s="19">
        <v>1.51</v>
      </c>
      <c r="CL252" s="19">
        <v>3.88</v>
      </c>
      <c r="CN252" s="19">
        <v>3.05</v>
      </c>
      <c r="CO252" s="19">
        <v>0.48</v>
      </c>
      <c r="CP252" s="19">
        <v>5.4</v>
      </c>
      <c r="CS252" s="19">
        <v>1.52</v>
      </c>
      <c r="CT252" s="19">
        <v>0.49</v>
      </c>
    </row>
    <row r="253" spans="1:98">
      <c r="A253" s="4" t="s">
        <v>246</v>
      </c>
      <c r="B253" s="1" t="s">
        <v>405</v>
      </c>
      <c r="C253" s="54" t="s">
        <v>407</v>
      </c>
      <c r="E253" s="61"/>
      <c r="F253" s="1" t="s">
        <v>247</v>
      </c>
      <c r="J253" s="1" t="s">
        <v>406</v>
      </c>
      <c r="K253" s="1" t="s">
        <v>52</v>
      </c>
      <c r="L253" s="4" t="s">
        <v>404</v>
      </c>
      <c r="M253" s="78" t="s">
        <v>865</v>
      </c>
      <c r="N253" s="78"/>
      <c r="R253" s="29">
        <v>47.45</v>
      </c>
      <c r="S253" s="29">
        <v>3.17</v>
      </c>
      <c r="T253" s="29">
        <v>13.92</v>
      </c>
      <c r="U253" s="29"/>
      <c r="V253" s="29">
        <v>15.31</v>
      </c>
      <c r="W253" s="29">
        <v>0.22</v>
      </c>
      <c r="X253" s="29">
        <v>4.33</v>
      </c>
      <c r="Y253" s="29">
        <v>9.66</v>
      </c>
      <c r="Z253" s="29">
        <v>2.66</v>
      </c>
      <c r="AA253" s="29">
        <v>0.56999999999999995</v>
      </c>
      <c r="AB253" s="29">
        <v>0.33</v>
      </c>
      <c r="AC253" s="9">
        <v>0.78</v>
      </c>
      <c r="AD253" s="23">
        <f t="shared" si="232"/>
        <v>98.399999999999991</v>
      </c>
      <c r="AE253" s="21">
        <f t="shared" si="233"/>
        <v>15.31</v>
      </c>
      <c r="AF253" s="23">
        <f t="shared" si="234"/>
        <v>0.33519238780829425</v>
      </c>
      <c r="AH253" s="16">
        <f t="shared" si="235"/>
        <v>48.606842860069662</v>
      </c>
      <c r="AI253" s="16">
        <f t="shared" si="236"/>
        <v>3.2472853923376359</v>
      </c>
      <c r="AJ253" s="16">
        <f t="shared" si="237"/>
        <v>14.259373079287032</v>
      </c>
      <c r="AK253" s="16">
        <f t="shared" si="238"/>
        <v>0</v>
      </c>
      <c r="AL253" s="16">
        <f t="shared" si="239"/>
        <v>15.683261626715838</v>
      </c>
      <c r="AM253" s="16">
        <f t="shared" si="240"/>
        <v>0.22536365498873184</v>
      </c>
      <c r="AN253" s="16">
        <f t="shared" si="241"/>
        <v>4.4355664822782224</v>
      </c>
      <c r="AO253" s="16">
        <f t="shared" si="242"/>
        <v>9.8955132145052254</v>
      </c>
      <c r="AP253" s="16">
        <f t="shared" si="243"/>
        <v>2.7248514648637578</v>
      </c>
      <c r="AQ253" s="16">
        <f t="shared" si="244"/>
        <v>0.58389674247080514</v>
      </c>
      <c r="AR253" s="16">
        <f t="shared" si="245"/>
        <v>0.33804548248309774</v>
      </c>
      <c r="AS253" s="16">
        <f t="shared" si="246"/>
        <v>100</v>
      </c>
      <c r="AT253" s="16">
        <f t="shared" si="247"/>
        <v>15.683261626715838</v>
      </c>
      <c r="AY253" s="70">
        <v>36.1</v>
      </c>
      <c r="AZ253" s="71">
        <v>498</v>
      </c>
      <c r="BA253" s="70"/>
      <c r="BB253" s="70">
        <v>44.9</v>
      </c>
      <c r="BC253" s="34"/>
      <c r="BD253" s="71">
        <v>178</v>
      </c>
      <c r="BE253" s="70"/>
      <c r="BF253" s="70">
        <v>47.4</v>
      </c>
      <c r="BG253" s="34"/>
      <c r="BH253" s="70">
        <v>309</v>
      </c>
      <c r="BI253" s="70"/>
      <c r="BJ253" s="71">
        <v>131</v>
      </c>
      <c r="BK253" s="70"/>
      <c r="BL253" s="70">
        <v>23.2</v>
      </c>
      <c r="BM253" s="19"/>
      <c r="BN253" s="70">
        <v>8.6</v>
      </c>
      <c r="BO253" s="70"/>
      <c r="BP253" s="70">
        <v>269</v>
      </c>
      <c r="BQ253" s="34"/>
      <c r="BR253" s="70">
        <v>36.9</v>
      </c>
      <c r="BS253" s="34"/>
      <c r="BT253" s="70">
        <v>191</v>
      </c>
      <c r="BU253" s="34"/>
      <c r="BV253" s="70">
        <v>17.3</v>
      </c>
      <c r="BW253" s="19"/>
      <c r="BX253" s="70">
        <v>2.4900000000000002</v>
      </c>
      <c r="BY253" s="70">
        <v>1.33</v>
      </c>
      <c r="BZ253" s="70">
        <v>0.01</v>
      </c>
      <c r="CB253" s="19">
        <v>20.5</v>
      </c>
      <c r="CC253" s="19">
        <v>47.3</v>
      </c>
      <c r="CD253" s="19">
        <v>6.48</v>
      </c>
      <c r="CE253" s="19">
        <v>31.4</v>
      </c>
      <c r="CF253" s="19">
        <v>7.4</v>
      </c>
      <c r="CG253" s="19">
        <v>2.52</v>
      </c>
      <c r="CH253" s="19">
        <v>8.43</v>
      </c>
      <c r="CI253" s="19">
        <v>1.34</v>
      </c>
      <c r="CJ253" s="19">
        <v>8.1</v>
      </c>
      <c r="CK253" s="19">
        <v>1.56</v>
      </c>
      <c r="CL253" s="19">
        <v>4.33</v>
      </c>
      <c r="CN253" s="19">
        <v>3.55</v>
      </c>
      <c r="CO253" s="19">
        <v>0.59</v>
      </c>
      <c r="CP253" s="19">
        <v>5.0999999999999996</v>
      </c>
      <c r="CS253" s="19">
        <v>1.38</v>
      </c>
      <c r="CT253" s="19">
        <v>0.44</v>
      </c>
    </row>
    <row r="254" spans="1:98">
      <c r="A254" s="4" t="s">
        <v>246</v>
      </c>
      <c r="B254" s="1" t="s">
        <v>405</v>
      </c>
      <c r="C254" s="54" t="s">
        <v>407</v>
      </c>
      <c r="E254" s="61"/>
      <c r="F254" s="1" t="s">
        <v>247</v>
      </c>
      <c r="J254" s="1" t="s">
        <v>406</v>
      </c>
      <c r="K254" s="1" t="s">
        <v>52</v>
      </c>
      <c r="L254" s="4" t="s">
        <v>404</v>
      </c>
      <c r="M254" s="78" t="s">
        <v>865</v>
      </c>
      <c r="N254" s="78"/>
      <c r="R254" s="29">
        <v>49.41</v>
      </c>
      <c r="S254" s="29">
        <v>2.14</v>
      </c>
      <c r="T254" s="29">
        <v>14.23</v>
      </c>
      <c r="U254" s="29"/>
      <c r="V254" s="29">
        <v>13.14</v>
      </c>
      <c r="W254" s="29">
        <v>0.19</v>
      </c>
      <c r="X254" s="29">
        <v>4.1100000000000003</v>
      </c>
      <c r="Y254" s="29">
        <v>9.4499999999999993</v>
      </c>
      <c r="Z254" s="29">
        <v>2.82</v>
      </c>
      <c r="AA254" s="29">
        <v>0.74</v>
      </c>
      <c r="AB254" s="29">
        <v>0.38</v>
      </c>
      <c r="AC254" s="9">
        <v>1.77</v>
      </c>
      <c r="AD254" s="23">
        <f t="shared" si="232"/>
        <v>98.379999999999981</v>
      </c>
      <c r="AE254" s="21">
        <f t="shared" si="233"/>
        <v>13.14</v>
      </c>
      <c r="AF254" s="23">
        <f t="shared" si="234"/>
        <v>0.35799148818790755</v>
      </c>
      <c r="AH254" s="16">
        <f t="shared" si="235"/>
        <v>51.143773936445513</v>
      </c>
      <c r="AI254" s="16">
        <f t="shared" si="236"/>
        <v>2.2150916054238694</v>
      </c>
      <c r="AJ254" s="16">
        <f t="shared" si="237"/>
        <v>14.729324086533488</v>
      </c>
      <c r="AK254" s="16">
        <f t="shared" si="238"/>
        <v>0</v>
      </c>
      <c r="AL254" s="16">
        <f t="shared" si="239"/>
        <v>13.601076493116656</v>
      </c>
      <c r="AM254" s="16">
        <f t="shared" si="240"/>
        <v>0.19666701169651177</v>
      </c>
      <c r="AN254" s="16">
        <f t="shared" si="241"/>
        <v>4.2542179898561239</v>
      </c>
      <c r="AO254" s="16">
        <f t="shared" si="242"/>
        <v>9.7815961080633471</v>
      </c>
      <c r="AP254" s="16">
        <f t="shared" si="243"/>
        <v>2.9189524893903327</v>
      </c>
      <c r="AQ254" s="16">
        <f t="shared" si="244"/>
        <v>0.7659662560811511</v>
      </c>
      <c r="AR254" s="16">
        <f t="shared" si="245"/>
        <v>0.39333402339302354</v>
      </c>
      <c r="AS254" s="16">
        <f t="shared" si="246"/>
        <v>100.00000000000001</v>
      </c>
      <c r="AT254" s="16">
        <f t="shared" si="247"/>
        <v>13.601076493116656</v>
      </c>
      <c r="AY254" s="70">
        <v>32.200000000000003</v>
      </c>
      <c r="AZ254" s="71">
        <v>325</v>
      </c>
      <c r="BA254" s="70"/>
      <c r="BB254" s="70">
        <v>40.4</v>
      </c>
      <c r="BC254" s="34"/>
      <c r="BD254" s="71">
        <v>122</v>
      </c>
      <c r="BE254" s="70"/>
      <c r="BF254" s="70">
        <v>38.9</v>
      </c>
      <c r="BG254" s="34"/>
      <c r="BH254" s="70">
        <v>329</v>
      </c>
      <c r="BI254" s="70"/>
      <c r="BJ254" s="71">
        <v>116</v>
      </c>
      <c r="BK254" s="70"/>
      <c r="BL254" s="70">
        <v>22.9</v>
      </c>
      <c r="BM254" s="19"/>
      <c r="BN254" s="70">
        <v>10.6</v>
      </c>
      <c r="BO254" s="70"/>
      <c r="BP254" s="70">
        <v>279</v>
      </c>
      <c r="BQ254" s="34"/>
      <c r="BR254" s="70">
        <v>42</v>
      </c>
      <c r="BS254" s="34"/>
      <c r="BT254" s="70">
        <v>238</v>
      </c>
      <c r="BU254" s="34"/>
      <c r="BV254" s="70">
        <v>18.5</v>
      </c>
      <c r="BW254" s="19"/>
      <c r="BX254" s="70">
        <v>3.32</v>
      </c>
      <c r="BY254" s="70">
        <v>1.49</v>
      </c>
      <c r="BZ254" s="70" t="s">
        <v>248</v>
      </c>
      <c r="CB254" s="19">
        <v>26.4</v>
      </c>
      <c r="CC254" s="19">
        <v>59</v>
      </c>
      <c r="CD254" s="19">
        <v>8.2100000000000009</v>
      </c>
      <c r="CE254" s="19">
        <v>36.799999999999997</v>
      </c>
      <c r="CF254" s="19">
        <v>9.19</v>
      </c>
      <c r="CG254" s="19">
        <v>2.97</v>
      </c>
      <c r="CH254" s="19">
        <v>10.7</v>
      </c>
      <c r="CI254" s="19">
        <v>1.63</v>
      </c>
      <c r="CJ254" s="19">
        <v>8.4</v>
      </c>
      <c r="CK254" s="19">
        <v>1.78</v>
      </c>
      <c r="CL254" s="19">
        <v>4.95</v>
      </c>
      <c r="CN254" s="19">
        <v>3.94</v>
      </c>
      <c r="CO254" s="19">
        <v>0.55000000000000004</v>
      </c>
      <c r="CP254" s="19">
        <v>6.2</v>
      </c>
      <c r="CS254" s="19">
        <v>1.75</v>
      </c>
      <c r="CT254" s="19">
        <v>0.56999999999999995</v>
      </c>
    </row>
    <row r="255" spans="1:98">
      <c r="A255" s="4" t="s">
        <v>246</v>
      </c>
      <c r="B255" s="1" t="s">
        <v>405</v>
      </c>
      <c r="C255" s="54" t="s">
        <v>409</v>
      </c>
      <c r="E255" s="61"/>
      <c r="F255" s="1" t="s">
        <v>247</v>
      </c>
      <c r="J255" s="1" t="s">
        <v>406</v>
      </c>
      <c r="K255" s="1" t="s">
        <v>52</v>
      </c>
      <c r="L255" s="4" t="s">
        <v>404</v>
      </c>
      <c r="M255" s="78" t="s">
        <v>865</v>
      </c>
      <c r="N255" s="78"/>
      <c r="R255" s="29">
        <v>46.13</v>
      </c>
      <c r="S255" s="29">
        <v>3.13</v>
      </c>
      <c r="T255" s="29">
        <v>13.71</v>
      </c>
      <c r="U255" s="29"/>
      <c r="V255" s="29">
        <v>14.96</v>
      </c>
      <c r="W255" s="29">
        <v>0.21</v>
      </c>
      <c r="X255" s="29">
        <v>3.91</v>
      </c>
      <c r="Y255" s="29">
        <v>9.16</v>
      </c>
      <c r="Z255" s="29">
        <v>2.62</v>
      </c>
      <c r="AA255" s="29">
        <v>0.59</v>
      </c>
      <c r="AB255" s="29">
        <v>0.35</v>
      </c>
      <c r="AC255" s="9">
        <v>0.89</v>
      </c>
      <c r="AD255" s="23">
        <f t="shared" si="232"/>
        <v>95.66</v>
      </c>
      <c r="AE255" s="21">
        <f t="shared" si="233"/>
        <v>14.96</v>
      </c>
      <c r="AF255" s="23">
        <f t="shared" si="234"/>
        <v>0.31784415362586682</v>
      </c>
      <c r="AH255" s="16">
        <f t="shared" si="235"/>
        <v>48.675741268333866</v>
      </c>
      <c r="AI255" s="16">
        <f t="shared" si="236"/>
        <v>3.302732932362562</v>
      </c>
      <c r="AJ255" s="16">
        <f t="shared" si="237"/>
        <v>14.466603355492245</v>
      </c>
      <c r="AK255" s="16">
        <f t="shared" si="238"/>
        <v>0</v>
      </c>
      <c r="AL255" s="16">
        <f t="shared" si="239"/>
        <v>15.785586155956526</v>
      </c>
      <c r="AM255" s="16">
        <f t="shared" si="240"/>
        <v>0.22158911047799937</v>
      </c>
      <c r="AN255" s="16">
        <f t="shared" si="241"/>
        <v>4.1257781998522738</v>
      </c>
      <c r="AO255" s="16">
        <f t="shared" si="242"/>
        <v>9.6655059618022587</v>
      </c>
      <c r="AP255" s="16">
        <f t="shared" si="243"/>
        <v>2.7645879497731349</v>
      </c>
      <c r="AQ255" s="16">
        <f t="shared" si="244"/>
        <v>0.62255988181914113</v>
      </c>
      <c r="AR255" s="16">
        <f t="shared" si="245"/>
        <v>0.36931518412999897</v>
      </c>
      <c r="AS255" s="16">
        <f t="shared" si="246"/>
        <v>99.999999999999986</v>
      </c>
      <c r="AT255" s="16">
        <f t="shared" si="247"/>
        <v>15.785586155956526</v>
      </c>
      <c r="AY255" s="70">
        <v>32.1</v>
      </c>
      <c r="AZ255" s="71">
        <v>474</v>
      </c>
      <c r="BA255" s="70"/>
      <c r="BB255" s="70">
        <v>39.299999999999997</v>
      </c>
      <c r="BC255" s="34"/>
      <c r="BD255" s="71">
        <v>103</v>
      </c>
      <c r="BE255" s="70"/>
      <c r="BF255" s="70">
        <v>42.6</v>
      </c>
      <c r="BG255" s="34"/>
      <c r="BH255" s="70">
        <v>300</v>
      </c>
      <c r="BI255" s="70"/>
      <c r="BJ255" s="71">
        <v>128</v>
      </c>
      <c r="BK255" s="70"/>
      <c r="BL255" s="70">
        <v>23.1</v>
      </c>
      <c r="BM255" s="19"/>
      <c r="BN255" s="70">
        <v>8.9</v>
      </c>
      <c r="BO255" s="70"/>
      <c r="BP255" s="70">
        <v>264</v>
      </c>
      <c r="BQ255" s="34"/>
      <c r="BR255" s="70">
        <v>37.4</v>
      </c>
      <c r="BS255" s="34"/>
      <c r="BT255" s="70">
        <v>197</v>
      </c>
      <c r="BU255" s="34"/>
      <c r="BV255" s="70">
        <v>20.399999999999999</v>
      </c>
      <c r="BW255" s="19"/>
      <c r="BX255" s="70">
        <v>1.92</v>
      </c>
      <c r="BY255" s="70">
        <v>1.47</v>
      </c>
      <c r="BZ255" s="70">
        <v>0.08</v>
      </c>
      <c r="CB255" s="19">
        <v>20.7</v>
      </c>
      <c r="CC255" s="19">
        <v>49.4</v>
      </c>
      <c r="CD255" s="19">
        <v>6.73</v>
      </c>
      <c r="CE255" s="19">
        <v>31.6</v>
      </c>
      <c r="CF255" s="19">
        <v>8.17</v>
      </c>
      <c r="CG255" s="19">
        <v>2.56</v>
      </c>
      <c r="CH255" s="19">
        <v>9.4600000000000009</v>
      </c>
      <c r="CI255" s="19">
        <v>1.3</v>
      </c>
      <c r="CJ255" s="19">
        <v>7.18</v>
      </c>
      <c r="CK255" s="19">
        <v>1.47</v>
      </c>
      <c r="CL255" s="19">
        <v>4.28</v>
      </c>
      <c r="CN255" s="19">
        <v>3.66</v>
      </c>
      <c r="CO255" s="19">
        <v>0.53</v>
      </c>
      <c r="CP255" s="19">
        <v>4.9000000000000004</v>
      </c>
      <c r="CS255" s="19">
        <v>1.47</v>
      </c>
      <c r="CT255" s="19">
        <v>0.48</v>
      </c>
    </row>
    <row r="256" spans="1:98">
      <c r="A256" s="4" t="s">
        <v>246</v>
      </c>
      <c r="B256" s="1" t="s">
        <v>405</v>
      </c>
      <c r="C256" s="54" t="s">
        <v>409</v>
      </c>
      <c r="E256" s="61"/>
      <c r="F256" s="1" t="s">
        <v>247</v>
      </c>
      <c r="J256" s="1" t="s">
        <v>406</v>
      </c>
      <c r="K256" s="1" t="s">
        <v>52</v>
      </c>
      <c r="L256" s="4" t="s">
        <v>404</v>
      </c>
      <c r="M256" s="78" t="s">
        <v>865</v>
      </c>
      <c r="N256" s="78"/>
      <c r="R256" s="29">
        <v>50.99</v>
      </c>
      <c r="S256" s="29">
        <v>2.33</v>
      </c>
      <c r="T256" s="29">
        <v>14.57</v>
      </c>
      <c r="U256" s="29"/>
      <c r="V256" s="29">
        <v>13.78</v>
      </c>
      <c r="W256" s="29">
        <v>0.21</v>
      </c>
      <c r="X256" s="29">
        <v>4.4800000000000004</v>
      </c>
      <c r="Y256" s="29">
        <v>10.039999999999999</v>
      </c>
      <c r="Z256" s="29">
        <v>2.91</v>
      </c>
      <c r="AA256" s="29">
        <v>0.74</v>
      </c>
      <c r="AB256" s="29">
        <v>0.38</v>
      </c>
      <c r="AC256" s="9">
        <v>0.5</v>
      </c>
      <c r="AD256" s="23">
        <f t="shared" si="232"/>
        <v>100.92999999999999</v>
      </c>
      <c r="AE256" s="21">
        <f t="shared" si="233"/>
        <v>13.78</v>
      </c>
      <c r="AF256" s="23">
        <f t="shared" si="234"/>
        <v>0.36692078268743678</v>
      </c>
      <c r="AH256" s="16">
        <f t="shared" si="235"/>
        <v>50.771681768395901</v>
      </c>
      <c r="AI256" s="16">
        <f t="shared" si="236"/>
        <v>2.3200238972418603</v>
      </c>
      <c r="AJ256" s="16">
        <f t="shared" si="237"/>
        <v>14.507617245842876</v>
      </c>
      <c r="AK256" s="16">
        <f t="shared" si="238"/>
        <v>0</v>
      </c>
      <c r="AL256" s="16">
        <f t="shared" si="239"/>
        <v>13.720999701284478</v>
      </c>
      <c r="AM256" s="16">
        <f t="shared" si="240"/>
        <v>0.20910086627501745</v>
      </c>
      <c r="AN256" s="16">
        <f t="shared" si="241"/>
        <v>4.4608184805337059</v>
      </c>
      <c r="AO256" s="16">
        <f t="shared" si="242"/>
        <v>9.9970128447675002</v>
      </c>
      <c r="AP256" s="16">
        <f t="shared" si="243"/>
        <v>2.8975405755252415</v>
      </c>
      <c r="AQ256" s="16">
        <f t="shared" si="244"/>
        <v>0.73683162401672808</v>
      </c>
      <c r="AR256" s="16">
        <f t="shared" si="245"/>
        <v>0.37837299611669822</v>
      </c>
      <c r="AS256" s="16">
        <f t="shared" si="246"/>
        <v>100.00000000000001</v>
      </c>
      <c r="AT256" s="16">
        <f t="shared" si="247"/>
        <v>13.720999701284478</v>
      </c>
      <c r="AY256" s="70">
        <v>35.200000000000003</v>
      </c>
      <c r="AZ256" s="71">
        <v>334</v>
      </c>
      <c r="BA256" s="70"/>
      <c r="BB256" s="70">
        <v>49.7</v>
      </c>
      <c r="BC256" s="34"/>
      <c r="BD256" s="71">
        <v>143</v>
      </c>
      <c r="BE256" s="70"/>
      <c r="BF256" s="70">
        <v>44.2</v>
      </c>
      <c r="BG256" s="34"/>
      <c r="BH256" s="70">
        <v>328</v>
      </c>
      <c r="BI256" s="70"/>
      <c r="BJ256" s="71">
        <v>121</v>
      </c>
      <c r="BK256" s="70"/>
      <c r="BL256" s="70">
        <v>23.8</v>
      </c>
      <c r="BM256" s="19"/>
      <c r="BN256" s="70">
        <v>10</v>
      </c>
      <c r="BO256" s="70"/>
      <c r="BP256" s="70">
        <v>285</v>
      </c>
      <c r="BQ256" s="34"/>
      <c r="BR256" s="70">
        <v>42.6</v>
      </c>
      <c r="BS256" s="34"/>
      <c r="BT256" s="70">
        <v>223</v>
      </c>
      <c r="BU256" s="34"/>
      <c r="BV256" s="70">
        <v>19.3</v>
      </c>
      <c r="BW256" s="19"/>
      <c r="BX256" s="70">
        <v>3.09</v>
      </c>
      <c r="BY256" s="70">
        <v>1.55</v>
      </c>
      <c r="BZ256" s="70">
        <v>0.06</v>
      </c>
      <c r="CB256" s="19">
        <v>22.3</v>
      </c>
      <c r="CC256" s="19">
        <v>51.9</v>
      </c>
      <c r="CD256" s="19">
        <v>7.23</v>
      </c>
      <c r="CE256" s="19">
        <v>33.1</v>
      </c>
      <c r="CF256" s="19">
        <v>8.27</v>
      </c>
      <c r="CG256" s="19">
        <v>2.85</v>
      </c>
      <c r="CH256" s="19">
        <v>9.2899999999999991</v>
      </c>
      <c r="CI256" s="19">
        <v>1.38</v>
      </c>
      <c r="CJ256" s="19">
        <v>8.1</v>
      </c>
      <c r="CK256" s="19">
        <v>1.74</v>
      </c>
      <c r="CL256" s="19">
        <v>4.5999999999999996</v>
      </c>
      <c r="CN256" s="19">
        <v>3.7</v>
      </c>
      <c r="CO256" s="19">
        <v>0.55000000000000004</v>
      </c>
      <c r="CP256" s="19">
        <v>6.3</v>
      </c>
      <c r="CS256" s="19">
        <v>1.74</v>
      </c>
      <c r="CT256" s="19">
        <v>0.56999999999999995</v>
      </c>
    </row>
    <row r="257" spans="1:98">
      <c r="A257" s="4" t="s">
        <v>246</v>
      </c>
      <c r="B257" s="1" t="s">
        <v>405</v>
      </c>
      <c r="C257" s="54" t="s">
        <v>410</v>
      </c>
      <c r="E257" s="61"/>
      <c r="F257" s="1" t="s">
        <v>247</v>
      </c>
      <c r="J257" s="1" t="s">
        <v>406</v>
      </c>
      <c r="K257" s="1" t="s">
        <v>52</v>
      </c>
      <c r="L257" s="4" t="s">
        <v>404</v>
      </c>
      <c r="M257" s="78" t="s">
        <v>865</v>
      </c>
      <c r="N257" s="78"/>
      <c r="R257" s="29">
        <v>48.21</v>
      </c>
      <c r="S257" s="29">
        <v>2.97</v>
      </c>
      <c r="T257" s="29">
        <v>14.27</v>
      </c>
      <c r="U257" s="29"/>
      <c r="V257" s="29">
        <v>14.7</v>
      </c>
      <c r="W257" s="29">
        <v>0.21</v>
      </c>
      <c r="X257" s="29">
        <v>4.32</v>
      </c>
      <c r="Y257" s="29">
        <v>9.85</v>
      </c>
      <c r="Z257" s="29">
        <v>2.72</v>
      </c>
      <c r="AA257" s="29">
        <v>0.61</v>
      </c>
      <c r="AB257" s="29">
        <v>0.32</v>
      </c>
      <c r="AC257" s="9">
        <v>1.58</v>
      </c>
      <c r="AD257" s="23">
        <f t="shared" si="232"/>
        <v>99.759999999999991</v>
      </c>
      <c r="AE257" s="21">
        <f t="shared" si="233"/>
        <v>14.7</v>
      </c>
      <c r="AF257" s="23">
        <f t="shared" si="234"/>
        <v>0.34379076592281893</v>
      </c>
      <c r="AH257" s="16">
        <f t="shared" si="235"/>
        <v>49.103687105316766</v>
      </c>
      <c r="AI257" s="16">
        <f t="shared" si="236"/>
        <v>3.025056019555918</v>
      </c>
      <c r="AJ257" s="16">
        <f t="shared" si="237"/>
        <v>14.534528417192911</v>
      </c>
      <c r="AK257" s="16">
        <f t="shared" si="238"/>
        <v>0</v>
      </c>
      <c r="AL257" s="16">
        <f t="shared" si="239"/>
        <v>14.972499490731311</v>
      </c>
      <c r="AM257" s="16">
        <f t="shared" si="240"/>
        <v>0.21389284986759016</v>
      </c>
      <c r="AN257" s="16">
        <f t="shared" si="241"/>
        <v>4.4000814829904265</v>
      </c>
      <c r="AO257" s="16">
        <f t="shared" si="242"/>
        <v>10.0325931961703</v>
      </c>
      <c r="AP257" s="16">
        <f t="shared" si="243"/>
        <v>2.7704216744754535</v>
      </c>
      <c r="AQ257" s="16">
        <f t="shared" si="244"/>
        <v>0.62130780199633329</v>
      </c>
      <c r="AR257" s="16">
        <f t="shared" si="245"/>
        <v>0.32593196170299454</v>
      </c>
      <c r="AS257" s="16">
        <f t="shared" si="246"/>
        <v>100.00000000000001</v>
      </c>
      <c r="AT257" s="16">
        <f t="shared" si="247"/>
        <v>14.972499490731311</v>
      </c>
      <c r="AY257" s="70">
        <v>35.1</v>
      </c>
      <c r="AZ257" s="71">
        <v>464</v>
      </c>
      <c r="BA257" s="70"/>
      <c r="BB257" s="70">
        <v>52.6</v>
      </c>
      <c r="BC257" s="34"/>
      <c r="BD257" s="71">
        <v>144</v>
      </c>
      <c r="BE257" s="70"/>
      <c r="BF257" s="70">
        <v>48</v>
      </c>
      <c r="BG257" s="34"/>
      <c r="BH257" s="70">
        <v>320</v>
      </c>
      <c r="BI257" s="70"/>
      <c r="BJ257" s="71">
        <v>158</v>
      </c>
      <c r="BK257" s="70"/>
      <c r="BL257" s="70">
        <v>23.7</v>
      </c>
      <c r="BM257" s="19"/>
      <c r="BN257" s="70">
        <v>9</v>
      </c>
      <c r="BO257" s="70"/>
      <c r="BP257" s="70">
        <v>275</v>
      </c>
      <c r="BQ257" s="34"/>
      <c r="BR257" s="70">
        <v>37.700000000000003</v>
      </c>
      <c r="BS257" s="34"/>
      <c r="BT257" s="70">
        <v>210</v>
      </c>
      <c r="BU257" s="34"/>
      <c r="BV257" s="70">
        <v>21.1</v>
      </c>
      <c r="BW257" s="19"/>
      <c r="BX257" s="70">
        <v>3.06</v>
      </c>
      <c r="BY257" s="70">
        <v>1.24</v>
      </c>
      <c r="BZ257" s="70">
        <v>0.2</v>
      </c>
      <c r="CB257" s="19">
        <v>18.5</v>
      </c>
      <c r="CC257" s="19">
        <v>43.7</v>
      </c>
      <c r="CD257" s="19">
        <v>6.19</v>
      </c>
      <c r="CE257" s="19">
        <v>27.8</v>
      </c>
      <c r="CF257" s="19">
        <v>7.18</v>
      </c>
      <c r="CG257" s="19">
        <v>2.33</v>
      </c>
      <c r="CH257" s="19">
        <v>7.9</v>
      </c>
      <c r="CI257" s="19">
        <v>1.27</v>
      </c>
      <c r="CJ257" s="19">
        <v>7.22</v>
      </c>
      <c r="CK257" s="19">
        <v>1.49</v>
      </c>
      <c r="CL257" s="19">
        <v>3.99</v>
      </c>
      <c r="CN257" s="19">
        <v>3.39</v>
      </c>
      <c r="CO257" s="19">
        <v>0.44</v>
      </c>
      <c r="CP257" s="19">
        <v>5.7</v>
      </c>
      <c r="CS257" s="19">
        <v>1.48</v>
      </c>
      <c r="CT257" s="19">
        <v>0.49</v>
      </c>
    </row>
    <row r="258" spans="1:98">
      <c r="A258" s="4" t="s">
        <v>246</v>
      </c>
      <c r="B258" s="1" t="s">
        <v>405</v>
      </c>
      <c r="C258" s="54" t="s">
        <v>410</v>
      </c>
      <c r="E258" s="61"/>
      <c r="F258" s="1" t="s">
        <v>247</v>
      </c>
      <c r="J258" s="1" t="s">
        <v>406</v>
      </c>
      <c r="K258" s="1" t="s">
        <v>52</v>
      </c>
      <c r="L258" s="4" t="s">
        <v>404</v>
      </c>
      <c r="M258" s="78" t="s">
        <v>865</v>
      </c>
      <c r="N258" s="78"/>
      <c r="R258" s="29">
        <v>49.17</v>
      </c>
      <c r="S258" s="29">
        <v>2.48</v>
      </c>
      <c r="T258" s="29">
        <v>13.88</v>
      </c>
      <c r="U258" s="29"/>
      <c r="V258" s="29">
        <v>14.57</v>
      </c>
      <c r="W258" s="29">
        <v>0.21</v>
      </c>
      <c r="X258" s="29">
        <v>4.8899999999999997</v>
      </c>
      <c r="Y258" s="29">
        <v>10.050000000000001</v>
      </c>
      <c r="Z258" s="29">
        <v>2.67</v>
      </c>
      <c r="AA258" s="29">
        <v>0.65</v>
      </c>
      <c r="AB258" s="29">
        <v>0.35</v>
      </c>
      <c r="AC258" s="9">
        <v>0.15</v>
      </c>
      <c r="AD258" s="23">
        <f t="shared" si="232"/>
        <v>99.07</v>
      </c>
      <c r="AE258" s="21">
        <f t="shared" si="233"/>
        <v>14.57</v>
      </c>
      <c r="AF258" s="23">
        <f t="shared" si="234"/>
        <v>0.3743437317312559</v>
      </c>
      <c r="AH258" s="16">
        <f t="shared" si="235"/>
        <v>49.70683380509503</v>
      </c>
      <c r="AI258" s="16">
        <f t="shared" si="236"/>
        <v>2.5070764253942581</v>
      </c>
      <c r="AJ258" s="16">
        <f t="shared" si="237"/>
        <v>14.031540638900124</v>
      </c>
      <c r="AK258" s="16">
        <f t="shared" si="238"/>
        <v>0</v>
      </c>
      <c r="AL258" s="16">
        <f t="shared" si="239"/>
        <v>14.729073999191268</v>
      </c>
      <c r="AM258" s="16">
        <f t="shared" si="240"/>
        <v>0.21229276182773962</v>
      </c>
      <c r="AN258" s="16">
        <f t="shared" si="241"/>
        <v>4.9433885968459359</v>
      </c>
      <c r="AO258" s="16">
        <f t="shared" si="242"/>
        <v>10.159725030327539</v>
      </c>
      <c r="AP258" s="16">
        <f t="shared" si="243"/>
        <v>2.6991508289526895</v>
      </c>
      <c r="AQ258" s="16">
        <f t="shared" si="244"/>
        <v>0.65709664375252741</v>
      </c>
      <c r="AR258" s="16">
        <f t="shared" si="245"/>
        <v>0.35382126971289934</v>
      </c>
      <c r="AS258" s="16">
        <f t="shared" si="246"/>
        <v>100.00000000000001</v>
      </c>
      <c r="AT258" s="16">
        <f t="shared" si="247"/>
        <v>14.729073999191268</v>
      </c>
      <c r="AY258" s="70">
        <v>37</v>
      </c>
      <c r="AZ258" s="71">
        <v>384</v>
      </c>
      <c r="BA258" s="70"/>
      <c r="BB258" s="70">
        <v>70.2</v>
      </c>
      <c r="BC258" s="34"/>
      <c r="BD258" s="71">
        <v>123</v>
      </c>
      <c r="BE258" s="70"/>
      <c r="BF258" s="70">
        <v>54.5</v>
      </c>
      <c r="BG258" s="34"/>
      <c r="BH258" s="70">
        <v>316</v>
      </c>
      <c r="BI258" s="70"/>
      <c r="BJ258" s="71">
        <v>121</v>
      </c>
      <c r="BK258" s="70"/>
      <c r="BL258" s="70">
        <v>22.1</v>
      </c>
      <c r="BM258" s="19"/>
      <c r="BN258" s="70">
        <v>9.1</v>
      </c>
      <c r="BO258" s="70"/>
      <c r="BP258" s="70">
        <v>269</v>
      </c>
      <c r="BQ258" s="34"/>
      <c r="BR258" s="70">
        <v>39.1</v>
      </c>
      <c r="BS258" s="34"/>
      <c r="BT258" s="70">
        <v>203</v>
      </c>
      <c r="BU258" s="34"/>
      <c r="BV258" s="70">
        <v>19.3</v>
      </c>
      <c r="BW258" s="19"/>
      <c r="BX258" s="70">
        <v>2.76</v>
      </c>
      <c r="BY258" s="70">
        <v>1.3</v>
      </c>
      <c r="BZ258" s="70">
        <v>0.2</v>
      </c>
      <c r="CB258" s="19">
        <v>22.1</v>
      </c>
      <c r="CC258" s="19">
        <v>50.1</v>
      </c>
      <c r="CD258" s="19">
        <v>7.07</v>
      </c>
      <c r="CE258" s="19">
        <v>32.700000000000003</v>
      </c>
      <c r="CF258" s="19">
        <v>8.15</v>
      </c>
      <c r="CG258" s="19">
        <v>2.78</v>
      </c>
      <c r="CH258" s="19">
        <v>9.24</v>
      </c>
      <c r="CI258" s="19">
        <v>1.56</v>
      </c>
      <c r="CJ258" s="19">
        <v>8.26</v>
      </c>
      <c r="CK258" s="19">
        <v>1.69</v>
      </c>
      <c r="CL258" s="19">
        <v>4.76</v>
      </c>
      <c r="CN258" s="19">
        <v>3.96</v>
      </c>
      <c r="CO258" s="19">
        <v>0.53</v>
      </c>
      <c r="CP258" s="19">
        <v>6.4</v>
      </c>
      <c r="CS258" s="19">
        <v>1.74</v>
      </c>
      <c r="CT258" s="19">
        <v>0.51</v>
      </c>
    </row>
    <row r="259" spans="1:98">
      <c r="A259" s="4" t="s">
        <v>246</v>
      </c>
      <c r="B259" s="1" t="s">
        <v>405</v>
      </c>
      <c r="C259" s="54" t="s">
        <v>411</v>
      </c>
      <c r="E259" s="61"/>
      <c r="F259" s="1" t="s">
        <v>247</v>
      </c>
      <c r="J259" s="1" t="s">
        <v>406</v>
      </c>
      <c r="K259" s="1" t="s">
        <v>52</v>
      </c>
      <c r="L259" s="4" t="s">
        <v>404</v>
      </c>
      <c r="M259" s="78" t="s">
        <v>865</v>
      </c>
      <c r="N259" s="78"/>
      <c r="R259" s="29">
        <v>46.36</v>
      </c>
      <c r="S259" s="29">
        <v>3.03</v>
      </c>
      <c r="T259" s="29">
        <v>13.16</v>
      </c>
      <c r="U259" s="29"/>
      <c r="V259" s="29">
        <v>15.19</v>
      </c>
      <c r="W259" s="29">
        <v>0.22</v>
      </c>
      <c r="X259" s="29">
        <v>4.46</v>
      </c>
      <c r="Y259" s="29">
        <v>9.4</v>
      </c>
      <c r="Z259" s="29">
        <v>2.57</v>
      </c>
      <c r="AA259" s="29">
        <v>0.61</v>
      </c>
      <c r="AB259" s="29">
        <v>0.33</v>
      </c>
      <c r="AC259" s="9">
        <v>0.15</v>
      </c>
      <c r="AD259" s="23">
        <f t="shared" si="232"/>
        <v>95.47999999999999</v>
      </c>
      <c r="AE259" s="21">
        <f t="shared" si="233"/>
        <v>15.19</v>
      </c>
      <c r="AF259" s="23">
        <f t="shared" si="234"/>
        <v>0.34358855427973228</v>
      </c>
      <c r="AH259" s="16">
        <f t="shared" si="235"/>
        <v>48.631071016469114</v>
      </c>
      <c r="AI259" s="16">
        <f t="shared" si="236"/>
        <v>3.1784328123360961</v>
      </c>
      <c r="AJ259" s="16">
        <f t="shared" si="237"/>
        <v>13.804678485261725</v>
      </c>
      <c r="AK259" s="16">
        <f t="shared" si="238"/>
        <v>0</v>
      </c>
      <c r="AL259" s="16">
        <f t="shared" si="239"/>
        <v>15.934123570754226</v>
      </c>
      <c r="AM259" s="16">
        <f t="shared" si="240"/>
        <v>0.23077729990559115</v>
      </c>
      <c r="AN259" s="16">
        <f t="shared" si="241"/>
        <v>4.6784852617224386</v>
      </c>
      <c r="AO259" s="16">
        <f t="shared" si="242"/>
        <v>9.8604846323298041</v>
      </c>
      <c r="AP259" s="16">
        <f t="shared" si="243"/>
        <v>2.6958984579880418</v>
      </c>
      <c r="AQ259" s="16">
        <f t="shared" si="244"/>
        <v>0.63988251337459368</v>
      </c>
      <c r="AR259" s="16">
        <f t="shared" si="245"/>
        <v>0.34616594985838672</v>
      </c>
      <c r="AS259" s="16">
        <f t="shared" si="246"/>
        <v>100.00000000000001</v>
      </c>
      <c r="AT259" s="16">
        <f t="shared" si="247"/>
        <v>15.934123570754226</v>
      </c>
      <c r="AY259" s="70">
        <v>37.1</v>
      </c>
      <c r="AZ259" s="71">
        <v>460</v>
      </c>
      <c r="BA259" s="70"/>
      <c r="BB259" s="70">
        <v>58.9</v>
      </c>
      <c r="BC259" s="34"/>
      <c r="BD259" s="71">
        <v>228</v>
      </c>
      <c r="BE259" s="70"/>
      <c r="BF259" s="70">
        <v>49.7</v>
      </c>
      <c r="BG259" s="34"/>
      <c r="BH259" s="70">
        <v>316</v>
      </c>
      <c r="BI259" s="70"/>
      <c r="BJ259" s="71">
        <v>287</v>
      </c>
      <c r="BK259" s="70"/>
      <c r="BL259" s="70">
        <v>22.9</v>
      </c>
      <c r="BM259" s="19"/>
      <c r="BN259" s="70">
        <v>9.4</v>
      </c>
      <c r="BO259" s="70"/>
      <c r="BP259" s="70">
        <v>256</v>
      </c>
      <c r="BQ259" s="34"/>
      <c r="BR259" s="70">
        <v>38.299999999999997</v>
      </c>
      <c r="BS259" s="34"/>
      <c r="BT259" s="70">
        <v>157</v>
      </c>
      <c r="BU259" s="34"/>
      <c r="BV259" s="70">
        <v>16.2</v>
      </c>
      <c r="BW259" s="19"/>
      <c r="BX259" s="70">
        <v>6.14</v>
      </c>
      <c r="BY259" s="70">
        <v>1.75</v>
      </c>
      <c r="BZ259" s="70">
        <v>0.09</v>
      </c>
      <c r="CB259" s="19">
        <v>18.899999999999999</v>
      </c>
      <c r="CC259" s="19">
        <v>45.9</v>
      </c>
      <c r="CD259" s="19">
        <v>6.36</v>
      </c>
      <c r="CE259" s="19">
        <v>29.6</v>
      </c>
      <c r="CF259" s="19">
        <v>7.78</v>
      </c>
      <c r="CG259" s="19">
        <v>2.4500000000000002</v>
      </c>
      <c r="CH259" s="19">
        <v>8.06</v>
      </c>
      <c r="CI259" s="19">
        <v>1.28</v>
      </c>
      <c r="CJ259" s="19">
        <v>7.27</v>
      </c>
      <c r="CK259" s="19">
        <v>1.44</v>
      </c>
      <c r="CL259" s="19">
        <v>3.91</v>
      </c>
      <c r="CN259" s="19">
        <v>3.34</v>
      </c>
      <c r="CO259" s="19">
        <v>0.53</v>
      </c>
      <c r="CP259" s="19">
        <v>4.5999999999999996</v>
      </c>
      <c r="CS259" s="19">
        <v>1.46</v>
      </c>
      <c r="CT259" s="19">
        <v>0.46</v>
      </c>
    </row>
    <row r="260" spans="1:98">
      <c r="A260" s="4" t="s">
        <v>246</v>
      </c>
      <c r="B260" s="1" t="s">
        <v>405</v>
      </c>
      <c r="C260" s="54" t="s">
        <v>411</v>
      </c>
      <c r="E260" s="61"/>
      <c r="F260" s="1" t="s">
        <v>247</v>
      </c>
      <c r="J260" s="1" t="s">
        <v>406</v>
      </c>
      <c r="K260" s="1" t="s">
        <v>52</v>
      </c>
      <c r="L260" s="4" t="s">
        <v>404</v>
      </c>
      <c r="M260" s="78" t="s">
        <v>865</v>
      </c>
      <c r="N260" s="78"/>
      <c r="R260" s="29">
        <v>49.28</v>
      </c>
      <c r="S260" s="29">
        <v>2.44</v>
      </c>
      <c r="T260" s="29">
        <v>14.75</v>
      </c>
      <c r="U260" s="29"/>
      <c r="V260" s="29">
        <v>13.12</v>
      </c>
      <c r="W260" s="29">
        <v>0.19</v>
      </c>
      <c r="X260" s="29">
        <v>4.1100000000000003</v>
      </c>
      <c r="Y260" s="29">
        <v>9.92</v>
      </c>
      <c r="Z260" s="29">
        <v>2.83</v>
      </c>
      <c r="AA260" s="29">
        <v>0.63</v>
      </c>
      <c r="AB260" s="29">
        <v>0.34</v>
      </c>
      <c r="AC260" s="9">
        <v>1.22</v>
      </c>
      <c r="AD260" s="23">
        <f t="shared" si="232"/>
        <v>98.83</v>
      </c>
      <c r="AE260" s="21">
        <f t="shared" si="233"/>
        <v>13.12</v>
      </c>
      <c r="AF260" s="23">
        <f t="shared" si="234"/>
        <v>0.35834165316731431</v>
      </c>
      <c r="AH260" s="16">
        <f t="shared" si="235"/>
        <v>50.486630468189738</v>
      </c>
      <c r="AI260" s="16">
        <f t="shared" si="236"/>
        <v>2.4997438787009529</v>
      </c>
      <c r="AJ260" s="16">
        <f t="shared" si="237"/>
        <v>15.111156643786497</v>
      </c>
      <c r="AK260" s="16">
        <f t="shared" si="238"/>
        <v>0</v>
      </c>
      <c r="AL260" s="16">
        <f t="shared" si="239"/>
        <v>13.441245773998565</v>
      </c>
      <c r="AM260" s="16">
        <f t="shared" si="240"/>
        <v>0.19465218727589387</v>
      </c>
      <c r="AN260" s="16">
        <f t="shared" si="241"/>
        <v>4.2106341563364413</v>
      </c>
      <c r="AO260" s="16">
        <f t="shared" si="242"/>
        <v>10.162893146194037</v>
      </c>
      <c r="AP260" s="16">
        <f t="shared" si="243"/>
        <v>2.8992931052146296</v>
      </c>
      <c r="AQ260" s="16">
        <f t="shared" si="244"/>
        <v>0.64542567359901648</v>
      </c>
      <c r="AR260" s="16">
        <f t="shared" si="245"/>
        <v>0.34832496670423113</v>
      </c>
      <c r="AS260" s="16">
        <f t="shared" si="246"/>
        <v>99.999999999999986</v>
      </c>
      <c r="AT260" s="16">
        <f t="shared" si="247"/>
        <v>13.441245773998565</v>
      </c>
      <c r="AY260" s="70">
        <v>33.6</v>
      </c>
      <c r="AZ260" s="71">
        <v>352</v>
      </c>
      <c r="BA260" s="70"/>
      <c r="BB260" s="70">
        <v>42.8</v>
      </c>
      <c r="BC260" s="34"/>
      <c r="BD260" s="71">
        <v>123</v>
      </c>
      <c r="BE260" s="70"/>
      <c r="BF260" s="70">
        <v>40.6</v>
      </c>
      <c r="BG260" s="34"/>
      <c r="BH260" s="70">
        <v>327</v>
      </c>
      <c r="BI260" s="70"/>
      <c r="BJ260" s="71">
        <v>119</v>
      </c>
      <c r="BK260" s="70"/>
      <c r="BL260" s="70">
        <v>23.2</v>
      </c>
      <c r="BM260" s="19"/>
      <c r="BN260" s="70">
        <v>9.5</v>
      </c>
      <c r="BO260" s="70"/>
      <c r="BP260" s="70">
        <v>281</v>
      </c>
      <c r="BQ260" s="34"/>
      <c r="BR260" s="70">
        <v>38.799999999999997</v>
      </c>
      <c r="BS260" s="34"/>
      <c r="BT260" s="70">
        <v>212</v>
      </c>
      <c r="BU260" s="34"/>
      <c r="BV260" s="70">
        <v>18.5</v>
      </c>
      <c r="BW260" s="19"/>
      <c r="BX260" s="70">
        <v>2.31</v>
      </c>
      <c r="BY260" s="70">
        <v>0.91</v>
      </c>
      <c r="BZ260" s="70">
        <v>0.01</v>
      </c>
      <c r="CB260" s="19">
        <v>21.1</v>
      </c>
      <c r="CC260" s="19">
        <v>49.6</v>
      </c>
      <c r="CD260" s="19">
        <v>6.82</v>
      </c>
      <c r="CE260" s="19">
        <v>31.7</v>
      </c>
      <c r="CF260" s="19">
        <v>8.08</v>
      </c>
      <c r="CG260" s="19">
        <v>2.61</v>
      </c>
      <c r="CH260" s="19">
        <v>9.36</v>
      </c>
      <c r="CI260" s="19">
        <v>1.38</v>
      </c>
      <c r="CJ260" s="19">
        <v>7.6</v>
      </c>
      <c r="CK260" s="19">
        <v>1.58</v>
      </c>
      <c r="CL260" s="19">
        <v>4.24</v>
      </c>
      <c r="CN260" s="19">
        <v>3.95</v>
      </c>
      <c r="CO260" s="19">
        <v>0.55000000000000004</v>
      </c>
      <c r="CP260" s="19">
        <v>5.6</v>
      </c>
      <c r="CS260" s="19">
        <v>1.54</v>
      </c>
      <c r="CT260" s="19">
        <v>0.51</v>
      </c>
    </row>
    <row r="261" spans="1:98">
      <c r="A261" s="4" t="s">
        <v>246</v>
      </c>
      <c r="B261" s="1" t="s">
        <v>405</v>
      </c>
      <c r="C261" s="54" t="s">
        <v>418</v>
      </c>
      <c r="E261" s="61"/>
      <c r="F261" s="1" t="s">
        <v>247</v>
      </c>
      <c r="J261" s="1" t="s">
        <v>406</v>
      </c>
      <c r="K261" s="1" t="s">
        <v>52</v>
      </c>
      <c r="L261" s="4" t="s">
        <v>404</v>
      </c>
      <c r="M261" s="78" t="s">
        <v>865</v>
      </c>
      <c r="N261" s="78"/>
      <c r="R261" s="29">
        <v>48.76</v>
      </c>
      <c r="S261" s="29">
        <v>2.75</v>
      </c>
      <c r="T261" s="29">
        <v>13.44</v>
      </c>
      <c r="U261" s="29"/>
      <c r="V261" s="29">
        <v>15.35</v>
      </c>
      <c r="W261" s="29">
        <v>0.22</v>
      </c>
      <c r="X261" s="29">
        <v>5.35</v>
      </c>
      <c r="Y261" s="29">
        <v>10.06</v>
      </c>
      <c r="Z261" s="29">
        <v>2.56</v>
      </c>
      <c r="AA261" s="29">
        <v>0.64</v>
      </c>
      <c r="AB261" s="29">
        <v>0.32</v>
      </c>
      <c r="AC261" s="9">
        <v>0.48</v>
      </c>
      <c r="AD261" s="23">
        <f t="shared" si="232"/>
        <v>99.929999999999993</v>
      </c>
      <c r="AE261" s="21">
        <f t="shared" si="233"/>
        <v>15.35</v>
      </c>
      <c r="AF261" s="23">
        <f t="shared" si="234"/>
        <v>0.38322706233404297</v>
      </c>
      <c r="AH261" s="16">
        <f t="shared" si="235"/>
        <v>49.02966314731021</v>
      </c>
      <c r="AI261" s="16">
        <f t="shared" si="236"/>
        <v>2.7652086475615891</v>
      </c>
      <c r="AJ261" s="16">
        <f t="shared" si="237"/>
        <v>13.514328808446457</v>
      </c>
      <c r="AK261" s="16">
        <f t="shared" si="238"/>
        <v>0</v>
      </c>
      <c r="AL261" s="16">
        <f t="shared" si="239"/>
        <v>15.434891905480143</v>
      </c>
      <c r="AM261" s="16">
        <f t="shared" si="240"/>
        <v>0.22121669180492712</v>
      </c>
      <c r="AN261" s="16">
        <f t="shared" si="241"/>
        <v>5.3795877325289094</v>
      </c>
      <c r="AO261" s="16">
        <f t="shared" si="242"/>
        <v>10.115635997988941</v>
      </c>
      <c r="AP261" s="16">
        <f t="shared" si="243"/>
        <v>2.5741578682755155</v>
      </c>
      <c r="AQ261" s="16">
        <f t="shared" si="244"/>
        <v>0.64353946706887888</v>
      </c>
      <c r="AR261" s="16">
        <f t="shared" si="245"/>
        <v>0.32176973353443944</v>
      </c>
      <c r="AS261" s="16">
        <f t="shared" si="246"/>
        <v>100.00000000000001</v>
      </c>
      <c r="AT261" s="16">
        <f t="shared" si="247"/>
        <v>15.434891905480143</v>
      </c>
      <c r="AY261" s="70">
        <v>38.200000000000003</v>
      </c>
      <c r="AZ261" s="71">
        <v>455</v>
      </c>
      <c r="BA261" s="70"/>
      <c r="BB261" s="70">
        <v>97.2</v>
      </c>
      <c r="BC261" s="34"/>
      <c r="BD261" s="71">
        <v>148</v>
      </c>
      <c r="BE261" s="70"/>
      <c r="BF261" s="70">
        <v>68.599999999999994</v>
      </c>
      <c r="BG261" s="34"/>
      <c r="BH261" s="70">
        <v>328</v>
      </c>
      <c r="BI261" s="70"/>
      <c r="BJ261" s="71">
        <v>137</v>
      </c>
      <c r="BK261" s="70"/>
      <c r="BL261" s="70">
        <v>22.4</v>
      </c>
      <c r="BM261" s="19"/>
      <c r="BN261" s="70">
        <v>9.1</v>
      </c>
      <c r="BO261" s="70"/>
      <c r="BP261" s="70">
        <v>258</v>
      </c>
      <c r="BQ261" s="34"/>
      <c r="BR261" s="70">
        <v>38.1</v>
      </c>
      <c r="BS261" s="34"/>
      <c r="BT261" s="70">
        <v>191</v>
      </c>
      <c r="BU261" s="34"/>
      <c r="BV261" s="70">
        <v>16.399999999999999</v>
      </c>
      <c r="BW261" s="19"/>
      <c r="BX261" s="70">
        <v>3.41</v>
      </c>
      <c r="BY261" s="70">
        <v>1.52</v>
      </c>
      <c r="BZ261" s="70" t="s">
        <v>248</v>
      </c>
      <c r="CB261" s="19">
        <v>20.100000000000001</v>
      </c>
      <c r="CC261" s="19">
        <v>48.1</v>
      </c>
      <c r="CD261" s="19">
        <v>6.88</v>
      </c>
      <c r="CE261" s="19">
        <v>31.7</v>
      </c>
      <c r="CF261" s="19">
        <v>8.33</v>
      </c>
      <c r="CG261" s="19">
        <v>2.57</v>
      </c>
      <c r="CH261" s="19">
        <v>8.59</v>
      </c>
      <c r="CI261" s="19">
        <v>1.47</v>
      </c>
      <c r="CJ261" s="19">
        <v>7.54</v>
      </c>
      <c r="CK261" s="19">
        <v>1.63</v>
      </c>
      <c r="CL261" s="19">
        <v>4.6500000000000004</v>
      </c>
      <c r="CN261" s="19">
        <v>3.82</v>
      </c>
      <c r="CO261" s="19">
        <v>0.71</v>
      </c>
      <c r="CP261" s="19">
        <v>5.0999999999999996</v>
      </c>
      <c r="CS261" s="19">
        <v>1.43</v>
      </c>
      <c r="CT261" s="19">
        <v>0.45</v>
      </c>
    </row>
    <row r="262" spans="1:98">
      <c r="A262" s="4" t="s">
        <v>246</v>
      </c>
      <c r="B262" s="1" t="s">
        <v>405</v>
      </c>
      <c r="C262" s="54" t="s">
        <v>412</v>
      </c>
      <c r="E262" s="61"/>
      <c r="F262" s="1" t="s">
        <v>247</v>
      </c>
      <c r="J262" s="1" t="s">
        <v>406</v>
      </c>
      <c r="K262" s="1" t="s">
        <v>52</v>
      </c>
      <c r="L262" s="4" t="s">
        <v>404</v>
      </c>
      <c r="M262" s="78" t="s">
        <v>865</v>
      </c>
      <c r="N262" s="78"/>
      <c r="R262" s="29">
        <v>48.41</v>
      </c>
      <c r="S262" s="29">
        <v>2.77</v>
      </c>
      <c r="T262" s="29">
        <v>14.81</v>
      </c>
      <c r="U262" s="29"/>
      <c r="V262" s="29">
        <v>14.36</v>
      </c>
      <c r="W262" s="29">
        <v>0.2</v>
      </c>
      <c r="X262" s="29">
        <v>4.01</v>
      </c>
      <c r="Y262" s="29">
        <v>9.85</v>
      </c>
      <c r="Z262" s="29">
        <v>2.8</v>
      </c>
      <c r="AA262" s="29">
        <v>0.6</v>
      </c>
      <c r="AB262" s="29">
        <v>0.32</v>
      </c>
      <c r="AC262" s="9">
        <v>0.67</v>
      </c>
      <c r="AD262" s="23">
        <f t="shared" si="232"/>
        <v>98.799999999999983</v>
      </c>
      <c r="AE262" s="21">
        <f t="shared" si="233"/>
        <v>14.36</v>
      </c>
      <c r="AF262" s="23">
        <f t="shared" si="234"/>
        <v>0.33236459279002495</v>
      </c>
      <c r="AH262" s="16">
        <f t="shared" si="235"/>
        <v>49.332518088250289</v>
      </c>
      <c r="AI262" s="16">
        <f t="shared" si="236"/>
        <v>2.8227861000713346</v>
      </c>
      <c r="AJ262" s="16">
        <f t="shared" si="237"/>
        <v>15.092224600020383</v>
      </c>
      <c r="AK262" s="16">
        <f t="shared" si="238"/>
        <v>0</v>
      </c>
      <c r="AL262" s="16">
        <f t="shared" si="239"/>
        <v>14.633649240803019</v>
      </c>
      <c r="AM262" s="16">
        <f t="shared" si="240"/>
        <v>0.20381127076327324</v>
      </c>
      <c r="AN262" s="16">
        <f t="shared" si="241"/>
        <v>4.0864159788036289</v>
      </c>
      <c r="AO262" s="16">
        <f t="shared" si="242"/>
        <v>10.037705085091208</v>
      </c>
      <c r="AP262" s="16">
        <f t="shared" si="243"/>
        <v>2.8533577906858256</v>
      </c>
      <c r="AQ262" s="16">
        <f t="shared" si="244"/>
        <v>0.61143381228981974</v>
      </c>
      <c r="AR262" s="16">
        <f t="shared" si="245"/>
        <v>0.3260980332212372</v>
      </c>
      <c r="AS262" s="16">
        <f t="shared" si="246"/>
        <v>100.00000000000001</v>
      </c>
      <c r="AT262" s="16">
        <f t="shared" si="247"/>
        <v>14.633649240803019</v>
      </c>
      <c r="AY262" s="70">
        <v>34.5</v>
      </c>
      <c r="AZ262" s="71">
        <v>416</v>
      </c>
      <c r="BA262" s="70"/>
      <c r="BB262" s="70">
        <v>37.1</v>
      </c>
      <c r="BC262" s="34"/>
      <c r="BD262" s="71">
        <v>155</v>
      </c>
      <c r="BE262" s="70"/>
      <c r="BF262" s="70">
        <v>40.299999999999997</v>
      </c>
      <c r="BG262" s="34"/>
      <c r="BH262" s="70">
        <v>307</v>
      </c>
      <c r="BI262" s="70"/>
      <c r="BJ262" s="71">
        <v>128</v>
      </c>
      <c r="BK262" s="70"/>
      <c r="BL262" s="70">
        <v>23.2</v>
      </c>
      <c r="BM262" s="19"/>
      <c r="BN262" s="70">
        <v>8.6</v>
      </c>
      <c r="BO262" s="70"/>
      <c r="BP262" s="70">
        <v>280</v>
      </c>
      <c r="BQ262" s="34"/>
      <c r="BR262" s="70">
        <v>37.1</v>
      </c>
      <c r="BS262" s="34"/>
      <c r="BT262" s="70">
        <v>189</v>
      </c>
      <c r="BU262" s="34"/>
      <c r="BV262" s="70">
        <v>17.7</v>
      </c>
      <c r="BW262" s="19"/>
      <c r="BX262" s="70">
        <v>3.61</v>
      </c>
      <c r="BY262" s="70">
        <v>1.78</v>
      </c>
      <c r="BZ262" s="70" t="s">
        <v>248</v>
      </c>
      <c r="CB262" s="19">
        <v>18.2</v>
      </c>
      <c r="CC262" s="19">
        <v>40.799999999999997</v>
      </c>
      <c r="CD262" s="19">
        <v>5.66</v>
      </c>
      <c r="CE262" s="19">
        <v>26.5</v>
      </c>
      <c r="CF262" s="19">
        <v>6.65</v>
      </c>
      <c r="CG262" s="19">
        <v>2.12</v>
      </c>
      <c r="CH262" s="19">
        <v>7.06</v>
      </c>
      <c r="CI262" s="19">
        <v>1.1499999999999999</v>
      </c>
      <c r="CJ262" s="19">
        <v>6.7</v>
      </c>
      <c r="CK262" s="19">
        <v>1.3</v>
      </c>
      <c r="CL262" s="19">
        <v>3.48</v>
      </c>
      <c r="CN262" s="19">
        <v>2.99</v>
      </c>
      <c r="CO262" s="19">
        <v>0.45</v>
      </c>
      <c r="CP262" s="19">
        <v>5.0999999999999996</v>
      </c>
      <c r="CS262" s="19">
        <v>1.38</v>
      </c>
      <c r="CT262" s="19">
        <v>0.48</v>
      </c>
    </row>
    <row r="263" spans="1:98">
      <c r="A263" s="4" t="s">
        <v>246</v>
      </c>
      <c r="B263" s="1" t="s">
        <v>405</v>
      </c>
      <c r="C263" s="54" t="s">
        <v>412</v>
      </c>
      <c r="E263" s="61"/>
      <c r="F263" s="1" t="s">
        <v>247</v>
      </c>
      <c r="J263" s="1" t="s">
        <v>406</v>
      </c>
      <c r="K263" s="1" t="s">
        <v>52</v>
      </c>
      <c r="L263" s="4" t="s">
        <v>404</v>
      </c>
      <c r="M263" s="78" t="s">
        <v>865</v>
      </c>
      <c r="N263" s="78"/>
      <c r="R263" s="29">
        <v>49.37</v>
      </c>
      <c r="S263" s="29">
        <v>2.59</v>
      </c>
      <c r="T263" s="29">
        <v>13.99</v>
      </c>
      <c r="U263" s="29"/>
      <c r="V263" s="29">
        <v>14.61</v>
      </c>
      <c r="W263" s="29">
        <v>0.21</v>
      </c>
      <c r="X263" s="29">
        <v>5.2</v>
      </c>
      <c r="Y263" s="29">
        <v>10.17</v>
      </c>
      <c r="Z263" s="29">
        <v>2.66</v>
      </c>
      <c r="AA263" s="29">
        <v>0.65</v>
      </c>
      <c r="AB263" s="29">
        <v>0.34</v>
      </c>
      <c r="AC263" s="9">
        <v>0.65</v>
      </c>
      <c r="AD263" s="23">
        <f t="shared" si="232"/>
        <v>100.44</v>
      </c>
      <c r="AE263" s="21">
        <f t="shared" si="233"/>
        <v>14.61</v>
      </c>
      <c r="AF263" s="23">
        <f t="shared" si="234"/>
        <v>0.38819591347128007</v>
      </c>
      <c r="AH263" s="16">
        <f t="shared" si="235"/>
        <v>49.473895179877751</v>
      </c>
      <c r="AI263" s="16">
        <f t="shared" si="236"/>
        <v>2.5954504459364669</v>
      </c>
      <c r="AJ263" s="16">
        <f t="shared" si="237"/>
        <v>14.019440825734042</v>
      </c>
      <c r="AK263" s="16">
        <f t="shared" si="238"/>
        <v>0</v>
      </c>
      <c r="AL263" s="16">
        <f t="shared" si="239"/>
        <v>14.640745565687945</v>
      </c>
      <c r="AM263" s="16">
        <f t="shared" si="240"/>
        <v>0.21044192804890272</v>
      </c>
      <c r="AN263" s="16">
        <f t="shared" si="241"/>
        <v>5.210942980258543</v>
      </c>
      <c r="AO263" s="16">
        <f t="shared" si="242"/>
        <v>10.191401944082575</v>
      </c>
      <c r="AP263" s="16">
        <f t="shared" si="243"/>
        <v>2.6655977552861012</v>
      </c>
      <c r="AQ263" s="16">
        <f t="shared" si="244"/>
        <v>0.65136787253231787</v>
      </c>
      <c r="AR263" s="16">
        <f t="shared" si="245"/>
        <v>0.34071550255536631</v>
      </c>
      <c r="AS263" s="16">
        <f t="shared" si="246"/>
        <v>100.00000000000001</v>
      </c>
      <c r="AT263" s="16">
        <f t="shared" si="247"/>
        <v>14.640745565687945</v>
      </c>
      <c r="AY263" s="70">
        <v>36.6</v>
      </c>
      <c r="AZ263" s="71">
        <v>424</v>
      </c>
      <c r="BA263" s="70"/>
      <c r="BB263" s="70">
        <v>90.4</v>
      </c>
      <c r="BC263" s="34"/>
      <c r="BD263" s="71">
        <v>137</v>
      </c>
      <c r="BE263" s="70"/>
      <c r="BF263" s="70">
        <v>68.5</v>
      </c>
      <c r="BG263" s="34"/>
      <c r="BH263" s="70">
        <v>319</v>
      </c>
      <c r="BI263" s="70"/>
      <c r="BJ263" s="71">
        <v>125</v>
      </c>
      <c r="BK263" s="70"/>
      <c r="BL263" s="70">
        <v>23.1</v>
      </c>
      <c r="BM263" s="19"/>
      <c r="BN263" s="70">
        <v>8.9</v>
      </c>
      <c r="BO263" s="70"/>
      <c r="BP263" s="70">
        <v>268</v>
      </c>
      <c r="BQ263" s="34"/>
      <c r="BR263" s="70">
        <v>38.9</v>
      </c>
      <c r="BS263" s="34"/>
      <c r="BT263" s="70">
        <v>204</v>
      </c>
      <c r="BU263" s="34"/>
      <c r="BV263" s="70">
        <v>18.3</v>
      </c>
      <c r="BW263" s="19"/>
      <c r="BX263" s="70">
        <v>2.31</v>
      </c>
      <c r="BY263" s="70">
        <v>1.66</v>
      </c>
      <c r="BZ263" s="70">
        <v>0.03</v>
      </c>
      <c r="CB263" s="19">
        <v>19.600000000000001</v>
      </c>
      <c r="CC263" s="19">
        <v>49.3</v>
      </c>
      <c r="CD263" s="19">
        <v>6.82</v>
      </c>
      <c r="CE263" s="19">
        <v>31.8</v>
      </c>
      <c r="CF263" s="19">
        <v>8.16</v>
      </c>
      <c r="CG263" s="19">
        <v>2.75</v>
      </c>
      <c r="CH263" s="19">
        <v>8.93</v>
      </c>
      <c r="CI263" s="19">
        <v>1.29</v>
      </c>
      <c r="CJ263" s="19">
        <v>8.1</v>
      </c>
      <c r="CK263" s="19">
        <v>1.6</v>
      </c>
      <c r="CL263" s="19">
        <v>4.17</v>
      </c>
      <c r="CN263" s="19">
        <v>3.41</v>
      </c>
      <c r="CO263" s="19">
        <v>0.57999999999999996</v>
      </c>
      <c r="CP263" s="19">
        <v>5.4</v>
      </c>
      <c r="CS263" s="19">
        <v>1.49</v>
      </c>
      <c r="CT263" s="19">
        <v>0.5</v>
      </c>
    </row>
    <row r="264" spans="1:98">
      <c r="A264" s="4" t="s">
        <v>246</v>
      </c>
      <c r="B264" s="1" t="s">
        <v>405</v>
      </c>
      <c r="C264" s="54" t="s">
        <v>413</v>
      </c>
      <c r="E264" s="61"/>
      <c r="F264" s="1" t="s">
        <v>247</v>
      </c>
      <c r="J264" s="1" t="s">
        <v>406</v>
      </c>
      <c r="K264" s="1" t="s">
        <v>52</v>
      </c>
      <c r="L264" s="4" t="s">
        <v>404</v>
      </c>
      <c r="M264" s="78" t="s">
        <v>865</v>
      </c>
      <c r="N264" s="78"/>
      <c r="R264" s="29">
        <v>48.08</v>
      </c>
      <c r="S264" s="29">
        <v>2.95</v>
      </c>
      <c r="T264" s="29">
        <v>15.04</v>
      </c>
      <c r="U264" s="29"/>
      <c r="V264" s="29">
        <v>14.31</v>
      </c>
      <c r="W264" s="29">
        <v>0.2</v>
      </c>
      <c r="X264" s="29">
        <v>3.75</v>
      </c>
      <c r="Y264" s="29">
        <v>9.65</v>
      </c>
      <c r="Z264" s="29">
        <v>2.84</v>
      </c>
      <c r="AA264" s="29">
        <v>0.61</v>
      </c>
      <c r="AB264" s="29">
        <v>0.33</v>
      </c>
      <c r="AC264" s="9">
        <v>0.69</v>
      </c>
      <c r="AD264" s="23">
        <f t="shared" si="232"/>
        <v>98.45</v>
      </c>
      <c r="AE264" s="21">
        <f t="shared" si="233"/>
        <v>14.31</v>
      </c>
      <c r="AF264" s="23">
        <f t="shared" si="234"/>
        <v>0.3184167978555929</v>
      </c>
      <c r="AH264" s="16">
        <f t="shared" si="235"/>
        <v>49.181669394435346</v>
      </c>
      <c r="AI264" s="16">
        <f t="shared" si="236"/>
        <v>3.0175941080196398</v>
      </c>
      <c r="AJ264" s="16">
        <f t="shared" si="237"/>
        <v>15.384615384615383</v>
      </c>
      <c r="AK264" s="16">
        <f t="shared" si="238"/>
        <v>0</v>
      </c>
      <c r="AL264" s="16">
        <f t="shared" si="239"/>
        <v>14.637888707037643</v>
      </c>
      <c r="AM264" s="16">
        <f t="shared" si="240"/>
        <v>0.20458265139116202</v>
      </c>
      <c r="AN264" s="16">
        <f t="shared" si="241"/>
        <v>3.835924713584288</v>
      </c>
      <c r="AO264" s="16">
        <f t="shared" si="242"/>
        <v>9.8711129296235676</v>
      </c>
      <c r="AP264" s="16">
        <f t="shared" si="243"/>
        <v>2.9050736497545007</v>
      </c>
      <c r="AQ264" s="16">
        <f t="shared" si="244"/>
        <v>0.6239770867430442</v>
      </c>
      <c r="AR264" s="16">
        <f t="shared" si="245"/>
        <v>0.33756137479541731</v>
      </c>
      <c r="AS264" s="16">
        <f t="shared" si="246"/>
        <v>99.999999999999986</v>
      </c>
      <c r="AT264" s="16">
        <f t="shared" si="247"/>
        <v>14.637888707037643</v>
      </c>
      <c r="AY264" s="70">
        <v>30.7</v>
      </c>
      <c r="AZ264" s="71">
        <v>437</v>
      </c>
      <c r="BA264" s="70"/>
      <c r="BB264" s="70">
        <v>27.7</v>
      </c>
      <c r="BC264" s="34"/>
      <c r="BD264" s="71">
        <v>107</v>
      </c>
      <c r="BE264" s="70"/>
      <c r="BF264" s="70">
        <v>36.4</v>
      </c>
      <c r="BG264" s="34"/>
      <c r="BH264" s="70">
        <v>322</v>
      </c>
      <c r="BI264" s="70"/>
      <c r="BJ264" s="71">
        <v>125</v>
      </c>
      <c r="BK264" s="70"/>
      <c r="BL264" s="70">
        <v>24.3</v>
      </c>
      <c r="BM264" s="19"/>
      <c r="BN264" s="70">
        <v>8.8000000000000007</v>
      </c>
      <c r="BO264" s="70"/>
      <c r="BP264" s="70">
        <v>284</v>
      </c>
      <c r="BQ264" s="34"/>
      <c r="BR264" s="70">
        <v>37.700000000000003</v>
      </c>
      <c r="BS264" s="34"/>
      <c r="BT264" s="70">
        <v>194</v>
      </c>
      <c r="BU264" s="34"/>
      <c r="BV264" s="70">
        <v>20.8</v>
      </c>
      <c r="BW264" s="19"/>
      <c r="BX264" s="70">
        <v>1.78</v>
      </c>
      <c r="BY264" s="70">
        <v>1.07</v>
      </c>
      <c r="BZ264" s="70">
        <v>0.06</v>
      </c>
      <c r="CB264" s="19">
        <v>21.1</v>
      </c>
      <c r="CC264" s="19">
        <v>47.9</v>
      </c>
      <c r="CD264" s="19">
        <v>6.73</v>
      </c>
      <c r="CE264" s="19">
        <v>30.1</v>
      </c>
      <c r="CF264" s="19">
        <v>7.51</v>
      </c>
      <c r="CG264" s="19">
        <v>2.65</v>
      </c>
      <c r="CH264" s="19">
        <v>8.9499999999999993</v>
      </c>
      <c r="CI264" s="19">
        <v>1.25</v>
      </c>
      <c r="CJ264" s="19">
        <v>7.54</v>
      </c>
      <c r="CK264" s="19">
        <v>1.58</v>
      </c>
      <c r="CL264" s="19">
        <v>3.97</v>
      </c>
      <c r="CN264" s="19">
        <v>3.72</v>
      </c>
      <c r="CO264" s="19">
        <v>0.55000000000000004</v>
      </c>
      <c r="CP264" s="19">
        <v>5.2</v>
      </c>
      <c r="CS264" s="19">
        <v>1.5</v>
      </c>
      <c r="CT264" s="19">
        <v>0.45</v>
      </c>
    </row>
    <row r="265" spans="1:98">
      <c r="A265" s="4" t="s">
        <v>246</v>
      </c>
      <c r="B265" s="1" t="s">
        <v>405</v>
      </c>
      <c r="C265" s="54" t="s">
        <v>413</v>
      </c>
      <c r="E265" s="61"/>
      <c r="F265" s="1" t="s">
        <v>247</v>
      </c>
      <c r="J265" s="1" t="s">
        <v>406</v>
      </c>
      <c r="K265" s="1" t="s">
        <v>52</v>
      </c>
      <c r="L265" s="4" t="s">
        <v>404</v>
      </c>
      <c r="M265" s="78" t="s">
        <v>865</v>
      </c>
      <c r="N265" s="78"/>
      <c r="R265" s="29">
        <v>48.22</v>
      </c>
      <c r="S265" s="29">
        <v>2.68</v>
      </c>
      <c r="T265" s="29">
        <v>13.31</v>
      </c>
      <c r="U265" s="29"/>
      <c r="V265" s="29">
        <v>14.99</v>
      </c>
      <c r="W265" s="29">
        <v>0.22</v>
      </c>
      <c r="X265" s="29">
        <v>5.28</v>
      </c>
      <c r="Y265" s="29">
        <v>9.77</v>
      </c>
      <c r="Z265" s="29">
        <v>2.57</v>
      </c>
      <c r="AA265" s="29">
        <v>0.67</v>
      </c>
      <c r="AB265" s="29">
        <v>0.33</v>
      </c>
      <c r="AC265" s="9">
        <v>0.4</v>
      </c>
      <c r="AD265" s="23">
        <f t="shared" si="232"/>
        <v>98.439999999999984</v>
      </c>
      <c r="AE265" s="21">
        <f t="shared" si="233"/>
        <v>14.99</v>
      </c>
      <c r="AF265" s="23">
        <f t="shared" si="234"/>
        <v>0.3857265279561608</v>
      </c>
      <c r="AH265" s="16">
        <f t="shared" si="235"/>
        <v>49.184006527947787</v>
      </c>
      <c r="AI265" s="16">
        <f t="shared" si="236"/>
        <v>2.7335781313749496</v>
      </c>
      <c r="AJ265" s="16">
        <f t="shared" si="237"/>
        <v>13.576091391268873</v>
      </c>
      <c r="AK265" s="16">
        <f t="shared" si="238"/>
        <v>0</v>
      </c>
      <c r="AL265" s="16">
        <f t="shared" si="239"/>
        <v>15.289677682578542</v>
      </c>
      <c r="AM265" s="16">
        <f t="shared" si="240"/>
        <v>0.22439820481436154</v>
      </c>
      <c r="AN265" s="16">
        <f t="shared" si="241"/>
        <v>5.3855569155446767</v>
      </c>
      <c r="AO265" s="16">
        <f t="shared" si="242"/>
        <v>9.9653202774377831</v>
      </c>
      <c r="AP265" s="16">
        <f t="shared" si="243"/>
        <v>2.6213790289677688</v>
      </c>
      <c r="AQ265" s="16">
        <f t="shared" si="244"/>
        <v>0.68339453284373741</v>
      </c>
      <c r="AR265" s="16">
        <f t="shared" si="245"/>
        <v>0.3365973072215423</v>
      </c>
      <c r="AS265" s="16">
        <f t="shared" si="246"/>
        <v>100.00000000000001</v>
      </c>
      <c r="AT265" s="16">
        <f t="shared" si="247"/>
        <v>15.289677682578542</v>
      </c>
      <c r="AY265" s="70">
        <v>35.4</v>
      </c>
      <c r="AZ265" s="71">
        <v>426</v>
      </c>
      <c r="BA265" s="70"/>
      <c r="BB265" s="70">
        <v>99.4</v>
      </c>
      <c r="BC265" s="34"/>
      <c r="BD265" s="71">
        <v>121</v>
      </c>
      <c r="BE265" s="70"/>
      <c r="BF265" s="70">
        <v>70.5</v>
      </c>
      <c r="BG265" s="34"/>
      <c r="BH265" s="70">
        <v>325</v>
      </c>
      <c r="BI265" s="70"/>
      <c r="BJ265" s="71">
        <v>127</v>
      </c>
      <c r="BK265" s="70"/>
      <c r="BL265" s="70">
        <v>22</v>
      </c>
      <c r="BM265" s="19"/>
      <c r="BN265" s="70">
        <v>9.6</v>
      </c>
      <c r="BO265" s="70"/>
      <c r="BP265" s="70">
        <v>255</v>
      </c>
      <c r="BQ265" s="34"/>
      <c r="BR265" s="70">
        <v>37.799999999999997</v>
      </c>
      <c r="BS265" s="34"/>
      <c r="BT265" s="70">
        <v>213</v>
      </c>
      <c r="BU265" s="34"/>
      <c r="BV265" s="70">
        <v>19.399999999999999</v>
      </c>
      <c r="BW265" s="19"/>
      <c r="BX265" s="70">
        <v>2.08</v>
      </c>
      <c r="BY265" s="70">
        <v>1.26</v>
      </c>
      <c r="BZ265" s="70">
        <v>0.05</v>
      </c>
      <c r="CP265" s="19">
        <v>5.7</v>
      </c>
      <c r="CS265" s="19">
        <v>1.44</v>
      </c>
      <c r="CT265" s="19">
        <v>0.46</v>
      </c>
    </row>
    <row r="266" spans="1:98">
      <c r="A266" s="4" t="s">
        <v>246</v>
      </c>
      <c r="B266" s="1" t="s">
        <v>405</v>
      </c>
      <c r="C266" s="54" t="s">
        <v>414</v>
      </c>
      <c r="E266" s="61"/>
      <c r="F266" s="1" t="s">
        <v>249</v>
      </c>
      <c r="J266" s="1" t="s">
        <v>406</v>
      </c>
      <c r="K266" s="1" t="s">
        <v>52</v>
      </c>
      <c r="L266" s="4" t="s">
        <v>404</v>
      </c>
      <c r="M266" s="78" t="s">
        <v>865</v>
      </c>
      <c r="N266" s="78"/>
      <c r="R266" s="29">
        <v>44.65</v>
      </c>
      <c r="S266" s="29">
        <v>1.77</v>
      </c>
      <c r="T266" s="29">
        <v>12.51</v>
      </c>
      <c r="U266" s="29"/>
      <c r="V266" s="29">
        <v>12.27</v>
      </c>
      <c r="W266" s="29">
        <v>0.19</v>
      </c>
      <c r="X266" s="29">
        <v>5.51</v>
      </c>
      <c r="Y266" s="29">
        <v>9.84</v>
      </c>
      <c r="Z266" s="29">
        <v>2.1</v>
      </c>
      <c r="AA266" s="29">
        <v>0.33</v>
      </c>
      <c r="AB266" s="29">
        <v>0.18</v>
      </c>
      <c r="AC266" s="9">
        <v>1.79</v>
      </c>
      <c r="AD266" s="23">
        <f t="shared" si="232"/>
        <v>91.140000000000015</v>
      </c>
      <c r="AE266" s="21">
        <f t="shared" si="233"/>
        <v>12.27</v>
      </c>
      <c r="AF266" s="23">
        <f t="shared" si="234"/>
        <v>0.44461643838570514</v>
      </c>
      <c r="AH266" s="16">
        <f t="shared" si="235"/>
        <v>49.972020145495236</v>
      </c>
      <c r="AI266" s="16">
        <f t="shared" si="236"/>
        <v>1.9809736989367654</v>
      </c>
      <c r="AJ266" s="16">
        <f t="shared" si="237"/>
        <v>14.001119194180189</v>
      </c>
      <c r="AK266" s="16">
        <f t="shared" si="238"/>
        <v>0</v>
      </c>
      <c r="AL266" s="16">
        <f t="shared" si="239"/>
        <v>13.732512590934526</v>
      </c>
      <c r="AM266" s="16">
        <f t="shared" si="240"/>
        <v>0.21264689423614996</v>
      </c>
      <c r="AN266" s="16">
        <f t="shared" si="241"/>
        <v>6.1667599328483487</v>
      </c>
      <c r="AO266" s="16">
        <f t="shared" si="242"/>
        <v>11.012870733072187</v>
      </c>
      <c r="AP266" s="16">
        <f t="shared" si="243"/>
        <v>2.3503077783995523</v>
      </c>
      <c r="AQ266" s="16">
        <f t="shared" si="244"/>
        <v>0.36933407946278674</v>
      </c>
      <c r="AR266" s="16">
        <f t="shared" si="245"/>
        <v>0.20145495243424733</v>
      </c>
      <c r="AS266" s="16">
        <f t="shared" si="246"/>
        <v>99.999999999999986</v>
      </c>
      <c r="AT266" s="16">
        <f t="shared" si="247"/>
        <v>13.732512590934526</v>
      </c>
      <c r="AY266" s="70">
        <v>37.6</v>
      </c>
      <c r="AZ266" s="71">
        <v>322</v>
      </c>
      <c r="BA266" s="70"/>
      <c r="BB266" s="70">
        <v>77.900000000000006</v>
      </c>
      <c r="BC266" s="34"/>
      <c r="BD266" s="71">
        <v>149</v>
      </c>
      <c r="BE266" s="70"/>
      <c r="BF266" s="70">
        <v>47.7</v>
      </c>
      <c r="BG266" s="34"/>
      <c r="BH266" s="70">
        <v>142</v>
      </c>
      <c r="BI266" s="70"/>
      <c r="BJ266" s="70">
        <v>59.3</v>
      </c>
      <c r="BK266" s="70"/>
      <c r="BL266" s="70">
        <v>16.8</v>
      </c>
      <c r="BM266" s="19"/>
      <c r="BN266" s="70">
        <v>5.0999999999999996</v>
      </c>
      <c r="BO266" s="70"/>
      <c r="BP266" s="70">
        <v>183</v>
      </c>
      <c r="BQ266" s="34"/>
      <c r="BR266" s="70">
        <v>27.8</v>
      </c>
      <c r="BS266" s="34"/>
      <c r="BT266" s="70">
        <v>98.4</v>
      </c>
      <c r="BU266" s="34"/>
      <c r="BV266" s="70">
        <v>9.3000000000000007</v>
      </c>
      <c r="BW266" s="19"/>
      <c r="BX266" s="70">
        <v>1.08</v>
      </c>
      <c r="BY266" s="70">
        <v>0.45</v>
      </c>
      <c r="BZ266" s="70">
        <v>0.73</v>
      </c>
      <c r="CB266" s="19">
        <v>8.8800000000000008</v>
      </c>
      <c r="CC266" s="19">
        <v>21.3</v>
      </c>
      <c r="CD266" s="19">
        <v>3.15</v>
      </c>
      <c r="CE266" s="19">
        <v>15.4</v>
      </c>
      <c r="CF266" s="19">
        <v>4.57</v>
      </c>
      <c r="CG266" s="19">
        <v>1.71</v>
      </c>
      <c r="CH266" s="19">
        <v>5.77</v>
      </c>
      <c r="CI266" s="19">
        <v>0.91</v>
      </c>
      <c r="CJ266" s="19">
        <v>5.62</v>
      </c>
      <c r="CK266" s="19">
        <v>1.17</v>
      </c>
      <c r="CL266" s="19">
        <v>3.22</v>
      </c>
      <c r="CN266" s="19">
        <v>2.94</v>
      </c>
      <c r="CO266" s="19">
        <v>0.41</v>
      </c>
      <c r="CP266" s="19">
        <v>3.3</v>
      </c>
      <c r="CS266" s="19">
        <v>0.79</v>
      </c>
      <c r="CT266" s="19">
        <v>0.22</v>
      </c>
    </row>
    <row r="267" spans="1:98">
      <c r="A267" s="4" t="s">
        <v>246</v>
      </c>
      <c r="B267" s="1" t="s">
        <v>405</v>
      </c>
      <c r="C267" s="54" t="s">
        <v>414</v>
      </c>
      <c r="E267" s="61"/>
      <c r="F267" s="1" t="s">
        <v>249</v>
      </c>
      <c r="J267" s="1" t="s">
        <v>406</v>
      </c>
      <c r="K267" s="1" t="s">
        <v>52</v>
      </c>
      <c r="L267" s="4" t="s">
        <v>404</v>
      </c>
      <c r="M267" s="78" t="s">
        <v>865</v>
      </c>
      <c r="N267" s="78"/>
      <c r="R267" s="29">
        <v>49.94</v>
      </c>
      <c r="S267" s="29">
        <v>2.57</v>
      </c>
      <c r="T267" s="29">
        <v>15.53</v>
      </c>
      <c r="U267" s="29"/>
      <c r="V267" s="29">
        <v>13.57</v>
      </c>
      <c r="W267" s="29">
        <v>0.2</v>
      </c>
      <c r="X267" s="29">
        <v>3.69</v>
      </c>
      <c r="Y267" s="29">
        <v>9.74</v>
      </c>
      <c r="Z267" s="29">
        <v>3.02</v>
      </c>
      <c r="AA267" s="29">
        <v>0.66</v>
      </c>
      <c r="AB267" s="29">
        <v>0.36</v>
      </c>
      <c r="AC267" s="9">
        <v>0.56999999999999995</v>
      </c>
      <c r="AD267" s="23">
        <f t="shared" si="232"/>
        <v>99.849999999999966</v>
      </c>
      <c r="AE267" s="21">
        <f t="shared" si="233"/>
        <v>13.57</v>
      </c>
      <c r="AF267" s="23">
        <f t="shared" si="234"/>
        <v>0.3264931093475546</v>
      </c>
      <c r="AH267" s="16">
        <f t="shared" si="235"/>
        <v>50.302175664786475</v>
      </c>
      <c r="AI267" s="16">
        <f t="shared" si="236"/>
        <v>2.5886381950040298</v>
      </c>
      <c r="AJ267" s="16">
        <f t="shared" si="237"/>
        <v>15.642626913779214</v>
      </c>
      <c r="AK267" s="16">
        <f t="shared" si="238"/>
        <v>0</v>
      </c>
      <c r="AL267" s="16">
        <f t="shared" si="239"/>
        <v>13.668412570507659</v>
      </c>
      <c r="AM267" s="16">
        <f t="shared" si="240"/>
        <v>0.20145044319097508</v>
      </c>
      <c r="AN267" s="16">
        <f t="shared" si="241"/>
        <v>3.71676067687349</v>
      </c>
      <c r="AO267" s="16">
        <f t="shared" si="242"/>
        <v>9.8106365834004858</v>
      </c>
      <c r="AP267" s="16">
        <f t="shared" si="243"/>
        <v>3.0419016921837239</v>
      </c>
      <c r="AQ267" s="16">
        <f t="shared" si="244"/>
        <v>0.66478646253021778</v>
      </c>
      <c r="AR267" s="16">
        <f t="shared" si="245"/>
        <v>0.36261079774375515</v>
      </c>
      <c r="AS267" s="16">
        <f t="shared" si="246"/>
        <v>100.00000000000003</v>
      </c>
      <c r="AT267" s="16">
        <f t="shared" si="247"/>
        <v>13.668412570507659</v>
      </c>
      <c r="AY267" s="70">
        <v>30.6</v>
      </c>
      <c r="AZ267" s="71">
        <v>365</v>
      </c>
      <c r="BA267" s="70"/>
      <c r="BB267" s="70">
        <v>78.7</v>
      </c>
      <c r="BC267" s="34"/>
      <c r="BD267" s="71">
        <v>101</v>
      </c>
      <c r="BE267" s="70"/>
      <c r="BF267" s="70">
        <v>41.1</v>
      </c>
      <c r="BG267" s="34"/>
      <c r="BH267" s="70">
        <v>325</v>
      </c>
      <c r="BI267" s="70"/>
      <c r="BJ267" s="71">
        <v>112</v>
      </c>
      <c r="BK267" s="70"/>
      <c r="BL267" s="70">
        <v>23.6</v>
      </c>
      <c r="BM267" s="19"/>
      <c r="BN267" s="70">
        <v>9.3000000000000007</v>
      </c>
      <c r="BO267" s="70"/>
      <c r="BP267" s="70">
        <v>295</v>
      </c>
      <c r="BQ267" s="34"/>
      <c r="BR267" s="70">
        <v>39.4</v>
      </c>
      <c r="BS267" s="34"/>
      <c r="BT267" s="70">
        <v>200</v>
      </c>
      <c r="BU267" s="34"/>
      <c r="BV267" s="70">
        <v>21.3</v>
      </c>
      <c r="BW267" s="19"/>
      <c r="BX267" s="70">
        <v>1.95</v>
      </c>
      <c r="BY267" s="70">
        <v>1.42</v>
      </c>
      <c r="BZ267" s="70">
        <v>0.2</v>
      </c>
      <c r="CB267" s="19">
        <v>20.3</v>
      </c>
      <c r="CC267" s="19">
        <v>47.4</v>
      </c>
      <c r="CD267" s="19">
        <v>6.71</v>
      </c>
      <c r="CE267" s="19">
        <v>30.5</v>
      </c>
      <c r="CF267" s="19">
        <v>7.96</v>
      </c>
      <c r="CG267" s="19">
        <v>2.41</v>
      </c>
      <c r="CH267" s="19">
        <v>8.2200000000000006</v>
      </c>
      <c r="CI267" s="19">
        <v>1.3</v>
      </c>
      <c r="CJ267" s="19">
        <v>7.66</v>
      </c>
      <c r="CK267" s="19">
        <v>1.45</v>
      </c>
      <c r="CL267" s="19">
        <v>4.12</v>
      </c>
      <c r="CN267" s="19">
        <v>3.48</v>
      </c>
      <c r="CO267" s="19">
        <v>0.51</v>
      </c>
      <c r="CP267" s="19">
        <v>6.2</v>
      </c>
      <c r="CS267" s="19">
        <v>1.87</v>
      </c>
      <c r="CT267" s="19">
        <v>0.53</v>
      </c>
    </row>
    <row r="268" spans="1:98">
      <c r="A268" s="4" t="s">
        <v>246</v>
      </c>
      <c r="B268" s="1" t="s">
        <v>405</v>
      </c>
      <c r="C268" s="54" t="s">
        <v>415</v>
      </c>
      <c r="E268" s="61"/>
      <c r="F268" s="1" t="s">
        <v>249</v>
      </c>
      <c r="J268" s="1" t="s">
        <v>406</v>
      </c>
      <c r="K268" s="1" t="s">
        <v>52</v>
      </c>
      <c r="L268" s="4" t="s">
        <v>404</v>
      </c>
      <c r="M268" s="78" t="s">
        <v>865</v>
      </c>
      <c r="N268" s="78"/>
      <c r="R268" s="29">
        <v>47.21</v>
      </c>
      <c r="S268" s="29">
        <v>1.85</v>
      </c>
      <c r="T268" s="29">
        <v>13.34</v>
      </c>
      <c r="U268" s="29"/>
      <c r="V268" s="29">
        <v>12.7</v>
      </c>
      <c r="W268" s="29">
        <v>0.2</v>
      </c>
      <c r="X268" s="29">
        <v>5.78</v>
      </c>
      <c r="Y268" s="29">
        <v>10.42</v>
      </c>
      <c r="Z268" s="29">
        <v>2.23</v>
      </c>
      <c r="AA268" s="29">
        <v>0.33</v>
      </c>
      <c r="AB268" s="29">
        <v>0.19</v>
      </c>
      <c r="AC268" s="9">
        <v>2.69</v>
      </c>
      <c r="AD268" s="23">
        <f t="shared" si="232"/>
        <v>96.940000000000012</v>
      </c>
      <c r="AE268" s="21">
        <f t="shared" si="233"/>
        <v>12.7</v>
      </c>
      <c r="AF268" s="23">
        <f t="shared" si="234"/>
        <v>0.44792634053119196</v>
      </c>
      <c r="AH268" s="16">
        <f t="shared" si="235"/>
        <v>50.090185676392565</v>
      </c>
      <c r="AI268" s="16">
        <f t="shared" si="236"/>
        <v>1.9628647214854109</v>
      </c>
      <c r="AJ268" s="16">
        <f t="shared" si="237"/>
        <v>14.153846153846152</v>
      </c>
      <c r="AK268" s="16">
        <f t="shared" si="238"/>
        <v>0</v>
      </c>
      <c r="AL268" s="16">
        <f t="shared" si="239"/>
        <v>13.474801061007955</v>
      </c>
      <c r="AM268" s="16">
        <f t="shared" si="240"/>
        <v>0.21220159151193629</v>
      </c>
      <c r="AN268" s="16">
        <f t="shared" si="241"/>
        <v>6.1326259946949593</v>
      </c>
      <c r="AO268" s="16">
        <f t="shared" si="242"/>
        <v>11.055702917771882</v>
      </c>
      <c r="AP268" s="16">
        <f t="shared" si="243"/>
        <v>2.3660477453580899</v>
      </c>
      <c r="AQ268" s="16">
        <f t="shared" si="244"/>
        <v>0.35013262599469491</v>
      </c>
      <c r="AR268" s="16">
        <f t="shared" si="245"/>
        <v>0.20159151193633948</v>
      </c>
      <c r="AS268" s="16">
        <f t="shared" si="246"/>
        <v>99.999999999999986</v>
      </c>
      <c r="AT268" s="16">
        <f t="shared" si="247"/>
        <v>13.474801061007955</v>
      </c>
      <c r="AY268" s="70">
        <v>40.200000000000003</v>
      </c>
      <c r="AZ268" s="71">
        <v>356</v>
      </c>
      <c r="BA268" s="70"/>
      <c r="BB268" s="70">
        <v>96.6</v>
      </c>
      <c r="BC268" s="34"/>
      <c r="BD268" s="71">
        <v>190</v>
      </c>
      <c r="BE268" s="70"/>
      <c r="BF268" s="70">
        <v>59.2</v>
      </c>
      <c r="BG268" s="34"/>
      <c r="BH268" s="70">
        <v>161</v>
      </c>
      <c r="BI268" s="70"/>
      <c r="BJ268" s="71">
        <v>125</v>
      </c>
      <c r="BK268" s="70"/>
      <c r="BL268" s="70">
        <v>18.600000000000001</v>
      </c>
      <c r="BM268" s="19"/>
      <c r="BN268" s="70">
        <v>4</v>
      </c>
      <c r="BO268" s="70"/>
      <c r="BP268" s="70">
        <v>203</v>
      </c>
      <c r="BQ268" s="34"/>
      <c r="BR268" s="70">
        <v>30.6</v>
      </c>
      <c r="BS268" s="34"/>
      <c r="BT268" s="70">
        <v>105</v>
      </c>
      <c r="BU268" s="34"/>
      <c r="BV268" s="70">
        <v>8.6</v>
      </c>
      <c r="BW268" s="19"/>
      <c r="BX268" s="70">
        <v>2.63</v>
      </c>
      <c r="BY268" s="70">
        <v>0.9</v>
      </c>
      <c r="BZ268" s="70">
        <v>0.25</v>
      </c>
      <c r="CB268" s="19">
        <v>9.7200000000000006</v>
      </c>
      <c r="CC268" s="19">
        <v>21.3</v>
      </c>
      <c r="CD268" s="19">
        <v>3</v>
      </c>
      <c r="CE268" s="19">
        <v>14.9</v>
      </c>
      <c r="CF268" s="19">
        <v>4.5599999999999996</v>
      </c>
      <c r="CG268" s="19">
        <v>1.59</v>
      </c>
      <c r="CH268" s="19">
        <v>5.29</v>
      </c>
      <c r="CI268" s="19">
        <v>0.9</v>
      </c>
      <c r="CJ268" s="19">
        <v>5.43</v>
      </c>
      <c r="CK268" s="19">
        <v>1.1399999999999999</v>
      </c>
      <c r="CL268" s="19">
        <v>3.19</v>
      </c>
      <c r="CN268" s="19">
        <v>2.84</v>
      </c>
      <c r="CO268" s="19">
        <v>0.41</v>
      </c>
      <c r="CP268" s="19">
        <v>2.8</v>
      </c>
      <c r="CS268" s="19">
        <v>0.63</v>
      </c>
      <c r="CT268" s="19">
        <v>0.23</v>
      </c>
    </row>
    <row r="269" spans="1:98">
      <c r="A269" s="4" t="s">
        <v>246</v>
      </c>
      <c r="B269" s="1" t="s">
        <v>405</v>
      </c>
      <c r="C269" s="54" t="s">
        <v>415</v>
      </c>
      <c r="E269" s="61"/>
      <c r="F269" s="1" t="s">
        <v>249</v>
      </c>
      <c r="J269" s="1" t="s">
        <v>406</v>
      </c>
      <c r="K269" s="1" t="s">
        <v>52</v>
      </c>
      <c r="L269" s="4" t="s">
        <v>404</v>
      </c>
      <c r="M269" s="78" t="s">
        <v>865</v>
      </c>
      <c r="N269" s="78"/>
      <c r="R269" s="29">
        <v>47.79</v>
      </c>
      <c r="S269" s="29">
        <v>2.92</v>
      </c>
      <c r="T269" s="29">
        <v>14.99</v>
      </c>
      <c r="U269" s="29"/>
      <c r="V269" s="29">
        <v>13.91</v>
      </c>
      <c r="W269" s="29">
        <v>0.2</v>
      </c>
      <c r="X269" s="29">
        <v>3.55</v>
      </c>
      <c r="Y269" s="29">
        <v>9.4600000000000009</v>
      </c>
      <c r="Z269" s="29">
        <v>2.87</v>
      </c>
      <c r="AA269" s="29">
        <v>0.62</v>
      </c>
      <c r="AB269" s="29">
        <v>0.34</v>
      </c>
      <c r="AC269" s="9">
        <v>0.4</v>
      </c>
      <c r="AD269" s="23">
        <f t="shared" si="232"/>
        <v>97.050000000000011</v>
      </c>
      <c r="AE269" s="21">
        <f t="shared" si="233"/>
        <v>13.91</v>
      </c>
      <c r="AF269" s="23">
        <f t="shared" si="234"/>
        <v>0.31270254550162624</v>
      </c>
      <c r="AH269" s="16">
        <f t="shared" si="235"/>
        <v>49.446456285566477</v>
      </c>
      <c r="AI269" s="16">
        <f t="shared" si="236"/>
        <v>3.0212105535437144</v>
      </c>
      <c r="AJ269" s="16">
        <f t="shared" si="237"/>
        <v>15.509570615623382</v>
      </c>
      <c r="AK269" s="16">
        <f t="shared" si="238"/>
        <v>0</v>
      </c>
      <c r="AL269" s="16">
        <f t="shared" si="239"/>
        <v>14.392136575271598</v>
      </c>
      <c r="AM269" s="16">
        <f t="shared" si="240"/>
        <v>0.20693222969477496</v>
      </c>
      <c r="AN269" s="16">
        <f t="shared" si="241"/>
        <v>3.6730470770822552</v>
      </c>
      <c r="AO269" s="16">
        <f t="shared" si="242"/>
        <v>9.7878944645628554</v>
      </c>
      <c r="AP269" s="16">
        <f t="shared" si="243"/>
        <v>2.9694774961200205</v>
      </c>
      <c r="AQ269" s="16">
        <f t="shared" si="244"/>
        <v>0.64148991205380235</v>
      </c>
      <c r="AR269" s="16">
        <f t="shared" si="245"/>
        <v>0.35178479048111744</v>
      </c>
      <c r="AS269" s="16">
        <f t="shared" si="246"/>
        <v>99.999999999999986</v>
      </c>
      <c r="AT269" s="16">
        <f t="shared" si="247"/>
        <v>14.392136575271598</v>
      </c>
      <c r="AY269" s="70">
        <v>30.6</v>
      </c>
      <c r="AZ269" s="71">
        <v>373</v>
      </c>
      <c r="BA269" s="70"/>
      <c r="BB269" s="70">
        <v>22.4</v>
      </c>
      <c r="BC269" s="34"/>
      <c r="BD269" s="71">
        <v>99.2</v>
      </c>
      <c r="BE269" s="70"/>
      <c r="BF269" s="70">
        <v>35</v>
      </c>
      <c r="BG269" s="34"/>
      <c r="BH269" s="70">
        <v>336</v>
      </c>
      <c r="BI269" s="70"/>
      <c r="BJ269" s="71">
        <v>120</v>
      </c>
      <c r="BK269" s="70"/>
      <c r="BL269" s="70">
        <v>23.2</v>
      </c>
      <c r="BM269" s="19"/>
      <c r="BN269" s="70">
        <v>9.1999999999999993</v>
      </c>
      <c r="BO269" s="70"/>
      <c r="BP269" s="70">
        <v>289</v>
      </c>
      <c r="BQ269" s="34"/>
      <c r="BR269" s="70">
        <v>37</v>
      </c>
      <c r="BS269" s="34"/>
      <c r="BT269" s="70">
        <v>195</v>
      </c>
      <c r="BU269" s="34"/>
      <c r="BV269" s="70">
        <v>20.7</v>
      </c>
      <c r="BW269" s="19"/>
      <c r="BX269" s="70">
        <v>1.38</v>
      </c>
      <c r="BY269" s="70">
        <v>0.97</v>
      </c>
      <c r="BZ269" s="70" t="s">
        <v>248</v>
      </c>
      <c r="CB269" s="19">
        <v>19.2</v>
      </c>
      <c r="CC269" s="19">
        <v>46.1</v>
      </c>
      <c r="CD269" s="19">
        <v>6.43</v>
      </c>
      <c r="CE269" s="19">
        <v>29.6</v>
      </c>
      <c r="CF269" s="19">
        <v>7.52</v>
      </c>
      <c r="CG269" s="19">
        <v>2.4</v>
      </c>
      <c r="CH269" s="19">
        <v>8.5</v>
      </c>
      <c r="CI269" s="19">
        <v>1.17</v>
      </c>
      <c r="CJ269" s="19">
        <v>7.1</v>
      </c>
      <c r="CK269" s="19">
        <v>1.43</v>
      </c>
      <c r="CL269" s="19">
        <v>3.86</v>
      </c>
      <c r="CN269" s="19">
        <v>3.46</v>
      </c>
      <c r="CO269" s="19">
        <v>0.5</v>
      </c>
      <c r="CP269" s="19">
        <v>5.2</v>
      </c>
      <c r="CS269" s="19">
        <v>1.41</v>
      </c>
      <c r="CT269" s="19">
        <v>0.46</v>
      </c>
    </row>
    <row r="270" spans="1:98">
      <c r="A270" s="4" t="s">
        <v>246</v>
      </c>
      <c r="B270" s="1" t="s">
        <v>405</v>
      </c>
      <c r="C270" s="54" t="s">
        <v>416</v>
      </c>
      <c r="E270" s="61"/>
      <c r="F270" s="1" t="s">
        <v>249</v>
      </c>
      <c r="J270" s="1" t="s">
        <v>406</v>
      </c>
      <c r="K270" s="1" t="s">
        <v>52</v>
      </c>
      <c r="L270" s="4" t="s">
        <v>404</v>
      </c>
      <c r="M270" s="78" t="s">
        <v>865</v>
      </c>
      <c r="N270" s="78"/>
      <c r="R270" s="29">
        <v>47.59</v>
      </c>
      <c r="S270" s="29">
        <v>1.95</v>
      </c>
      <c r="T270" s="29">
        <v>13.16</v>
      </c>
      <c r="U270" s="29"/>
      <c r="V270" s="29">
        <v>13.34</v>
      </c>
      <c r="W270" s="29">
        <v>0.21</v>
      </c>
      <c r="X270" s="29">
        <v>5.86</v>
      </c>
      <c r="Y270" s="29">
        <v>10.54</v>
      </c>
      <c r="Z270" s="29">
        <v>2.29</v>
      </c>
      <c r="AA270" s="29">
        <v>0.32</v>
      </c>
      <c r="AB270" s="29">
        <v>0.18</v>
      </c>
      <c r="AC270" s="9">
        <v>0.87</v>
      </c>
      <c r="AD270" s="23">
        <f t="shared" si="232"/>
        <v>96.310000000000016</v>
      </c>
      <c r="AE270" s="21">
        <f t="shared" si="233"/>
        <v>13.34</v>
      </c>
      <c r="AF270" s="23">
        <f t="shared" si="234"/>
        <v>0.439184640926784</v>
      </c>
      <c r="AH270" s="16">
        <f t="shared" si="235"/>
        <v>49.863788767812231</v>
      </c>
      <c r="AI270" s="16">
        <f t="shared" si="236"/>
        <v>2.0431684828164287</v>
      </c>
      <c r="AJ270" s="16">
        <f t="shared" si="237"/>
        <v>13.788767812238053</v>
      </c>
      <c r="AK270" s="16">
        <f t="shared" si="238"/>
        <v>0</v>
      </c>
      <c r="AL270" s="16">
        <f t="shared" si="239"/>
        <v>13.977367979882647</v>
      </c>
      <c r="AM270" s="16">
        <f t="shared" si="240"/>
        <v>0.22003352891869235</v>
      </c>
      <c r="AN270" s="16">
        <f t="shared" si="241"/>
        <v>6.1399832355406527</v>
      </c>
      <c r="AO270" s="16">
        <f t="shared" si="242"/>
        <v>11.043587594300082</v>
      </c>
      <c r="AP270" s="16">
        <f t="shared" si="243"/>
        <v>2.3994132439228832</v>
      </c>
      <c r="AQ270" s="16">
        <f t="shared" si="244"/>
        <v>0.33528918692372167</v>
      </c>
      <c r="AR270" s="16">
        <f t="shared" si="245"/>
        <v>0.18860016764459345</v>
      </c>
      <c r="AS270" s="16">
        <f t="shared" si="246"/>
        <v>99.999999999999972</v>
      </c>
      <c r="AT270" s="16">
        <f t="shared" si="247"/>
        <v>13.977367979882647</v>
      </c>
      <c r="AY270" s="70">
        <v>41.9</v>
      </c>
      <c r="AZ270" s="71">
        <v>374</v>
      </c>
      <c r="BA270" s="70"/>
      <c r="BB270" s="70">
        <v>91.4</v>
      </c>
      <c r="BC270" s="34"/>
      <c r="BD270" s="71">
        <v>160</v>
      </c>
      <c r="BE270" s="70"/>
      <c r="BF270" s="70">
        <v>58.4</v>
      </c>
      <c r="BG270" s="34"/>
      <c r="BH270" s="70">
        <v>175</v>
      </c>
      <c r="BI270" s="70"/>
      <c r="BJ270" s="71">
        <v>126</v>
      </c>
      <c r="BK270" s="70"/>
      <c r="BL270" s="70">
        <v>18.399999999999999</v>
      </c>
      <c r="BM270" s="19"/>
      <c r="BN270" s="70">
        <v>3.9</v>
      </c>
      <c r="BO270" s="70"/>
      <c r="BP270" s="70">
        <v>187</v>
      </c>
      <c r="BQ270" s="34"/>
      <c r="BR270" s="70">
        <v>31.2</v>
      </c>
      <c r="BS270" s="34"/>
      <c r="BT270" s="70">
        <v>106</v>
      </c>
      <c r="BU270" s="34"/>
      <c r="BV270" s="70">
        <v>8.1999999999999993</v>
      </c>
      <c r="BW270" s="19"/>
      <c r="BX270" s="70">
        <v>2.27</v>
      </c>
      <c r="BY270" s="70">
        <v>1</v>
      </c>
      <c r="BZ270" s="70">
        <v>0.24</v>
      </c>
      <c r="CB270" s="19">
        <v>9.8000000000000007</v>
      </c>
      <c r="CC270" s="19">
        <v>22.5</v>
      </c>
      <c r="CD270" s="19">
        <v>3.03</v>
      </c>
      <c r="CE270" s="19">
        <v>15.7</v>
      </c>
      <c r="CF270" s="19">
        <v>4.7699999999999996</v>
      </c>
      <c r="CG270" s="19">
        <v>1.71</v>
      </c>
      <c r="CH270" s="19">
        <v>5.63</v>
      </c>
      <c r="CI270" s="19">
        <v>0.98</v>
      </c>
      <c r="CJ270" s="19">
        <v>5.9</v>
      </c>
      <c r="CK270" s="19">
        <v>1.21</v>
      </c>
      <c r="CL270" s="19">
        <v>3.52</v>
      </c>
      <c r="CN270" s="19">
        <v>3.14</v>
      </c>
      <c r="CO270" s="19">
        <v>0.43</v>
      </c>
      <c r="CP270" s="19">
        <v>3</v>
      </c>
      <c r="CS270" s="19">
        <v>0.6</v>
      </c>
      <c r="CT270" s="19">
        <v>0.21</v>
      </c>
    </row>
    <row r="271" spans="1:98">
      <c r="A271" s="4" t="s">
        <v>246</v>
      </c>
      <c r="B271" s="1" t="s">
        <v>405</v>
      </c>
      <c r="C271" s="54" t="s">
        <v>416</v>
      </c>
      <c r="E271" s="61"/>
      <c r="F271" s="1" t="s">
        <v>249</v>
      </c>
      <c r="J271" s="1" t="s">
        <v>406</v>
      </c>
      <c r="K271" s="1" t="s">
        <v>52</v>
      </c>
      <c r="L271" s="4" t="s">
        <v>404</v>
      </c>
      <c r="M271" s="78" t="s">
        <v>865</v>
      </c>
      <c r="N271" s="78"/>
      <c r="R271" s="29">
        <v>48.86</v>
      </c>
      <c r="S271" s="29">
        <v>3</v>
      </c>
      <c r="T271" s="29">
        <v>15.31</v>
      </c>
      <c r="U271" s="29"/>
      <c r="V271" s="29">
        <v>14.37</v>
      </c>
      <c r="W271" s="29">
        <v>0.2</v>
      </c>
      <c r="X271" s="29">
        <v>3.94</v>
      </c>
      <c r="Y271" s="29">
        <v>9.8000000000000007</v>
      </c>
      <c r="Z271" s="29">
        <v>2.97</v>
      </c>
      <c r="AA271" s="29">
        <v>0.63</v>
      </c>
      <c r="AB271" s="29">
        <v>0.32</v>
      </c>
      <c r="AC271" s="9">
        <v>0.61</v>
      </c>
      <c r="AD271" s="23">
        <f t="shared" si="232"/>
        <v>100.00999999999999</v>
      </c>
      <c r="AE271" s="21">
        <f t="shared" si="233"/>
        <v>14.37</v>
      </c>
      <c r="AF271" s="23">
        <f t="shared" si="234"/>
        <v>0.32831491691560649</v>
      </c>
      <c r="AH271" s="16">
        <f t="shared" si="235"/>
        <v>49.154929577464792</v>
      </c>
      <c r="AI271" s="16">
        <f t="shared" si="236"/>
        <v>3.018108651911469</v>
      </c>
      <c r="AJ271" s="16">
        <f t="shared" si="237"/>
        <v>15.402414486921531</v>
      </c>
      <c r="AK271" s="16">
        <f t="shared" si="238"/>
        <v>0</v>
      </c>
      <c r="AL271" s="16">
        <f t="shared" si="239"/>
        <v>14.456740442655937</v>
      </c>
      <c r="AM271" s="16">
        <f t="shared" si="240"/>
        <v>0.2012072434607646</v>
      </c>
      <c r="AN271" s="16">
        <f t="shared" si="241"/>
        <v>3.9637826961770628</v>
      </c>
      <c r="AO271" s="16">
        <f t="shared" si="242"/>
        <v>9.8591549295774676</v>
      </c>
      <c r="AP271" s="16">
        <f t="shared" si="243"/>
        <v>2.9879275653923543</v>
      </c>
      <c r="AQ271" s="16">
        <f t="shared" si="244"/>
        <v>0.63380281690140849</v>
      </c>
      <c r="AR271" s="16">
        <f t="shared" si="245"/>
        <v>0.32193158953722339</v>
      </c>
      <c r="AS271" s="16">
        <f t="shared" si="246"/>
        <v>100.00000000000003</v>
      </c>
      <c r="AT271" s="16">
        <f t="shared" si="247"/>
        <v>14.456740442655937</v>
      </c>
      <c r="AY271" s="70">
        <v>31.9</v>
      </c>
      <c r="AZ271" s="71">
        <v>421</v>
      </c>
      <c r="BA271" s="70"/>
      <c r="BB271" s="70">
        <v>30.5</v>
      </c>
      <c r="BC271" s="34"/>
      <c r="BD271" s="71">
        <v>117</v>
      </c>
      <c r="BE271" s="70"/>
      <c r="BF271" s="70">
        <v>40.200000000000003</v>
      </c>
      <c r="BG271" s="34"/>
      <c r="BH271" s="70">
        <v>295</v>
      </c>
      <c r="BI271" s="70"/>
      <c r="BJ271" s="71">
        <v>130</v>
      </c>
      <c r="BK271" s="70"/>
      <c r="BL271" s="70">
        <v>23.6</v>
      </c>
      <c r="BM271" s="19"/>
      <c r="BN271" s="70">
        <v>9</v>
      </c>
      <c r="BO271" s="70"/>
      <c r="BP271" s="70">
        <v>289</v>
      </c>
      <c r="BQ271" s="34"/>
      <c r="BR271" s="70">
        <v>35.6</v>
      </c>
      <c r="BS271" s="34"/>
      <c r="BT271" s="70">
        <v>193</v>
      </c>
      <c r="BU271" s="34"/>
      <c r="BV271" s="70">
        <v>18.5</v>
      </c>
      <c r="BW271" s="19"/>
      <c r="BX271" s="70">
        <v>1.82</v>
      </c>
      <c r="BY271" s="70">
        <v>1.24</v>
      </c>
      <c r="BZ271" s="70">
        <v>0.04</v>
      </c>
      <c r="CB271" s="19">
        <v>20.3</v>
      </c>
      <c r="CC271" s="19">
        <v>48.3</v>
      </c>
      <c r="CD271" s="19">
        <v>6.79</v>
      </c>
      <c r="CE271" s="19">
        <v>31.8</v>
      </c>
      <c r="CF271" s="19">
        <v>7.71</v>
      </c>
      <c r="CG271" s="19">
        <v>2.54</v>
      </c>
      <c r="CH271" s="19">
        <v>8.32</v>
      </c>
      <c r="CI271" s="19">
        <v>1.34</v>
      </c>
      <c r="CJ271" s="19">
        <v>7.24</v>
      </c>
      <c r="CK271" s="19">
        <v>1.52</v>
      </c>
      <c r="CL271" s="19">
        <v>4.2699999999999996</v>
      </c>
      <c r="CN271" s="19">
        <v>3.39</v>
      </c>
      <c r="CO271" s="19">
        <v>0.47</v>
      </c>
      <c r="CP271" s="19">
        <v>5</v>
      </c>
      <c r="CS271" s="19">
        <v>1.42</v>
      </c>
      <c r="CT271" s="19">
        <v>0.43</v>
      </c>
    </row>
    <row r="272" spans="1:98">
      <c r="A272" s="4" t="s">
        <v>246</v>
      </c>
      <c r="B272" s="1" t="s">
        <v>405</v>
      </c>
      <c r="C272" s="54" t="s">
        <v>417</v>
      </c>
      <c r="E272" s="61"/>
      <c r="F272" s="1" t="s">
        <v>249</v>
      </c>
      <c r="J272" s="1" t="s">
        <v>406</v>
      </c>
      <c r="K272" s="1" t="s">
        <v>52</v>
      </c>
      <c r="L272" s="4" t="s">
        <v>404</v>
      </c>
      <c r="M272" s="78" t="s">
        <v>865</v>
      </c>
      <c r="N272" s="78"/>
      <c r="R272" s="29">
        <v>48</v>
      </c>
      <c r="S272" s="29">
        <v>3.31</v>
      </c>
      <c r="T272" s="29">
        <v>14.79</v>
      </c>
      <c r="U272" s="29"/>
      <c r="V272" s="29">
        <v>15.44</v>
      </c>
      <c r="W272" s="29">
        <v>0.21</v>
      </c>
      <c r="X272" s="29">
        <v>3.93</v>
      </c>
      <c r="Y272" s="29">
        <v>9.8000000000000007</v>
      </c>
      <c r="Z272" s="29">
        <v>2.82</v>
      </c>
      <c r="AA272" s="29">
        <v>0.6</v>
      </c>
      <c r="AB272" s="29">
        <v>0.32</v>
      </c>
      <c r="AC272" s="9">
        <v>0.21</v>
      </c>
      <c r="AD272" s="23">
        <f t="shared" si="232"/>
        <v>99.429999999999964</v>
      </c>
      <c r="AE272" s="21">
        <f t="shared" si="233"/>
        <v>15.44</v>
      </c>
      <c r="AF272" s="23">
        <f t="shared" si="234"/>
        <v>0.31213077572048664</v>
      </c>
      <c r="AH272" s="16">
        <f t="shared" si="235"/>
        <v>48.377343277565025</v>
      </c>
      <c r="AI272" s="16">
        <f t="shared" si="236"/>
        <v>3.3360209635154212</v>
      </c>
      <c r="AJ272" s="16">
        <f t="shared" si="237"/>
        <v>14.906268897399721</v>
      </c>
      <c r="AK272" s="16">
        <f t="shared" si="238"/>
        <v>0</v>
      </c>
      <c r="AL272" s="16">
        <f t="shared" si="239"/>
        <v>15.561378754283416</v>
      </c>
      <c r="AM272" s="16">
        <f t="shared" si="240"/>
        <v>0.21165087683934697</v>
      </c>
      <c r="AN272" s="16">
        <f t="shared" si="241"/>
        <v>3.960894980850636</v>
      </c>
      <c r="AO272" s="16">
        <f t="shared" si="242"/>
        <v>9.8770409191695272</v>
      </c>
      <c r="AP272" s="16">
        <f t="shared" si="243"/>
        <v>2.8421689175569451</v>
      </c>
      <c r="AQ272" s="16">
        <f t="shared" si="244"/>
        <v>0.60471679096956277</v>
      </c>
      <c r="AR272" s="16">
        <f t="shared" si="245"/>
        <v>0.32251562185043348</v>
      </c>
      <c r="AS272" s="16">
        <f t="shared" si="246"/>
        <v>100.00000000000003</v>
      </c>
      <c r="AT272" s="16">
        <f t="shared" si="247"/>
        <v>15.561378754283416</v>
      </c>
      <c r="AY272" s="70">
        <v>33.4</v>
      </c>
      <c r="AZ272" s="71">
        <v>507</v>
      </c>
      <c r="BA272" s="70"/>
      <c r="BB272" s="70">
        <v>36.200000000000003</v>
      </c>
      <c r="BC272" s="34"/>
      <c r="BD272" s="71">
        <v>112</v>
      </c>
      <c r="BE272" s="70"/>
      <c r="BF272" s="70">
        <v>41.8</v>
      </c>
      <c r="BG272" s="34"/>
      <c r="BH272" s="70">
        <v>317</v>
      </c>
      <c r="BI272" s="70"/>
      <c r="BJ272" s="71">
        <v>132</v>
      </c>
      <c r="BK272" s="70"/>
      <c r="BL272" s="70">
        <v>24.6</v>
      </c>
      <c r="BM272" s="19"/>
      <c r="BN272" s="70">
        <v>8.9</v>
      </c>
      <c r="BO272" s="70"/>
      <c r="BP272" s="70">
        <v>279</v>
      </c>
      <c r="BQ272" s="34"/>
      <c r="BR272" s="70">
        <v>37</v>
      </c>
      <c r="BS272" s="34"/>
      <c r="BT272" s="70">
        <v>226</v>
      </c>
      <c r="BU272" s="34"/>
      <c r="BV272" s="70">
        <v>22.3</v>
      </c>
      <c r="BW272" s="19"/>
      <c r="BX272" s="70">
        <v>2.33</v>
      </c>
      <c r="BY272" s="70">
        <v>1.68</v>
      </c>
      <c r="BZ272" s="70">
        <v>0.01</v>
      </c>
      <c r="CB272" s="19">
        <v>18.5</v>
      </c>
      <c r="CC272" s="19">
        <v>43.6</v>
      </c>
      <c r="CD272" s="19">
        <v>6.04</v>
      </c>
      <c r="CE272" s="19">
        <v>28.6</v>
      </c>
      <c r="CF272" s="19">
        <v>7.22</v>
      </c>
      <c r="CG272" s="19">
        <v>2.38</v>
      </c>
      <c r="CH272" s="19">
        <v>7.98</v>
      </c>
      <c r="CI272" s="19">
        <v>1.24</v>
      </c>
      <c r="CJ272" s="19">
        <v>7.01</v>
      </c>
      <c r="CK272" s="19">
        <v>1.44</v>
      </c>
      <c r="CL272" s="19">
        <v>3.89</v>
      </c>
      <c r="CN272" s="19">
        <v>3.31</v>
      </c>
      <c r="CO272" s="19">
        <v>0.46</v>
      </c>
      <c r="CP272" s="19">
        <v>6.1</v>
      </c>
      <c r="CS272" s="19">
        <v>1.45</v>
      </c>
      <c r="CT272" s="19">
        <v>0.48</v>
      </c>
    </row>
    <row r="273" spans="1:98">
      <c r="A273" s="4" t="s">
        <v>246</v>
      </c>
      <c r="B273" s="1" t="s">
        <v>405</v>
      </c>
      <c r="C273" s="54" t="s">
        <v>417</v>
      </c>
      <c r="E273" s="61"/>
      <c r="F273" s="1" t="s">
        <v>249</v>
      </c>
      <c r="J273" s="1" t="s">
        <v>406</v>
      </c>
      <c r="K273" s="1" t="s">
        <v>52</v>
      </c>
      <c r="L273" s="4" t="s">
        <v>404</v>
      </c>
      <c r="M273" s="78" t="s">
        <v>865</v>
      </c>
      <c r="N273" s="78"/>
      <c r="R273" s="29">
        <v>49.01</v>
      </c>
      <c r="S273" s="29">
        <v>2.19</v>
      </c>
      <c r="T273" s="29">
        <v>12.67</v>
      </c>
      <c r="U273" s="29"/>
      <c r="V273" s="29">
        <v>14.67</v>
      </c>
      <c r="W273" s="29">
        <v>0.23</v>
      </c>
      <c r="X273" s="29">
        <v>5.17</v>
      </c>
      <c r="Y273" s="29">
        <v>9.7100000000000009</v>
      </c>
      <c r="Z273" s="29">
        <v>2.61</v>
      </c>
      <c r="AA273" s="29">
        <v>0.48</v>
      </c>
      <c r="AB273" s="29">
        <v>0.25</v>
      </c>
      <c r="AC273" s="9">
        <v>1.03</v>
      </c>
      <c r="AD273" s="23">
        <f t="shared" si="232"/>
        <v>98.02000000000001</v>
      </c>
      <c r="AE273" s="21">
        <f t="shared" si="233"/>
        <v>14.67</v>
      </c>
      <c r="AF273" s="23">
        <f t="shared" si="234"/>
        <v>0.38585100338396355</v>
      </c>
      <c r="AH273" s="16">
        <f t="shared" si="235"/>
        <v>50.530982575523247</v>
      </c>
      <c r="AI273" s="16">
        <f t="shared" si="236"/>
        <v>2.2579647386328485</v>
      </c>
      <c r="AJ273" s="16">
        <f t="shared" si="237"/>
        <v>13.063202391999173</v>
      </c>
      <c r="AK273" s="16">
        <f t="shared" si="238"/>
        <v>0</v>
      </c>
      <c r="AL273" s="16">
        <f t="shared" si="239"/>
        <v>15.125270646458397</v>
      </c>
      <c r="AM273" s="16">
        <f t="shared" si="240"/>
        <v>0.23713784926281059</v>
      </c>
      <c r="AN273" s="16">
        <f t="shared" si="241"/>
        <v>5.3304464377770895</v>
      </c>
      <c r="AO273" s="16">
        <f t="shared" si="242"/>
        <v>10.011341375399526</v>
      </c>
      <c r="AP273" s="16">
        <f t="shared" si="243"/>
        <v>2.6909990720692853</v>
      </c>
      <c r="AQ273" s="16">
        <f t="shared" si="244"/>
        <v>0.49489638107021339</v>
      </c>
      <c r="AR273" s="16">
        <f t="shared" si="245"/>
        <v>0.25775853180740282</v>
      </c>
      <c r="AS273" s="16">
        <f t="shared" si="246"/>
        <v>100</v>
      </c>
      <c r="AT273" s="16">
        <f t="shared" si="247"/>
        <v>15.125270646458397</v>
      </c>
      <c r="AY273" s="70">
        <v>42.7</v>
      </c>
      <c r="AZ273" s="71">
        <v>387</v>
      </c>
      <c r="BA273" s="70"/>
      <c r="BB273" s="70">
        <v>41.7</v>
      </c>
      <c r="BC273" s="34"/>
      <c r="BD273" s="71">
        <v>159</v>
      </c>
      <c r="BE273" s="70"/>
      <c r="BF273" s="70">
        <v>45.1</v>
      </c>
      <c r="BG273" s="34"/>
      <c r="BH273" s="70">
        <v>203</v>
      </c>
      <c r="BI273" s="70"/>
      <c r="BJ273" s="71">
        <v>113</v>
      </c>
      <c r="BK273" s="70"/>
      <c r="BL273" s="70">
        <v>20.100000000000001</v>
      </c>
      <c r="BM273" s="19"/>
      <c r="BN273" s="70">
        <v>6.7</v>
      </c>
      <c r="BO273" s="70"/>
      <c r="BP273" s="70">
        <v>200</v>
      </c>
      <c r="BQ273" s="34"/>
      <c r="BR273" s="70">
        <v>39</v>
      </c>
      <c r="BS273" s="34"/>
      <c r="BT273" s="70">
        <v>149</v>
      </c>
      <c r="BU273" s="34"/>
      <c r="BV273" s="70">
        <v>12</v>
      </c>
      <c r="BW273" s="19"/>
      <c r="BX273" s="70">
        <v>2.2599999999999998</v>
      </c>
      <c r="BY273" s="70">
        <v>1.17</v>
      </c>
      <c r="BZ273" s="70">
        <v>0.37</v>
      </c>
      <c r="CB273" s="19">
        <v>11.8</v>
      </c>
      <c r="CC273" s="19">
        <v>31.2</v>
      </c>
      <c r="CD273" s="19">
        <v>4.5199999999999996</v>
      </c>
      <c r="CE273" s="19">
        <v>21.7</v>
      </c>
      <c r="CF273" s="19">
        <v>6.49</v>
      </c>
      <c r="CG273" s="19">
        <v>2.09</v>
      </c>
      <c r="CH273" s="19">
        <v>7.64</v>
      </c>
      <c r="CI273" s="19">
        <v>1.25</v>
      </c>
      <c r="CJ273" s="19">
        <v>7.74</v>
      </c>
      <c r="CK273" s="19">
        <v>1.78</v>
      </c>
      <c r="CL273" s="19">
        <v>4.46</v>
      </c>
      <c r="CN273" s="19">
        <v>3.84</v>
      </c>
      <c r="CO273" s="19">
        <v>0.53</v>
      </c>
      <c r="CP273" s="19">
        <v>4.4000000000000004</v>
      </c>
      <c r="CS273" s="19">
        <v>1.03</v>
      </c>
      <c r="CT273" s="19">
        <v>0.33</v>
      </c>
    </row>
    <row r="274" spans="1:98">
      <c r="B274" s="4"/>
      <c r="C274" s="54"/>
      <c r="D274" s="61"/>
      <c r="E274" s="61"/>
      <c r="L274" s="4"/>
      <c r="M274" s="4"/>
      <c r="N274" s="4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D274" s="23"/>
      <c r="AE274" s="23"/>
      <c r="AF274" s="23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Y274" s="19"/>
      <c r="AZ274" s="19"/>
      <c r="BA274" s="19"/>
      <c r="BC274" s="19"/>
      <c r="BD274" s="19"/>
      <c r="BE274" s="19"/>
      <c r="BG274" s="19"/>
      <c r="BH274" s="19"/>
      <c r="BI274" s="19"/>
      <c r="BJ274" s="19"/>
      <c r="BK274" s="19"/>
      <c r="BL274" s="19"/>
      <c r="BM274" s="19"/>
      <c r="BN274" s="19"/>
      <c r="BO274" s="19"/>
      <c r="BQ274" s="19"/>
      <c r="BS274" s="19"/>
      <c r="BU274" s="19"/>
      <c r="BV274" s="19"/>
      <c r="BW274" s="19"/>
      <c r="BX274" s="19"/>
      <c r="BY274" s="19"/>
      <c r="BZ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N274" s="19"/>
      <c r="CO274" s="19"/>
      <c r="CP274" s="19"/>
      <c r="CS274" s="19"/>
      <c r="CT274" s="19"/>
    </row>
    <row r="275" spans="1:98" ht="20.399999999999999">
      <c r="A275" s="76" t="s">
        <v>860</v>
      </c>
      <c r="B275" s="16"/>
      <c r="C275" s="26"/>
      <c r="D275" s="30"/>
      <c r="E275" s="30"/>
      <c r="F275" s="16"/>
      <c r="G275" s="16"/>
      <c r="H275" s="16"/>
      <c r="I275" s="17"/>
      <c r="J275" s="16"/>
      <c r="K275" s="16"/>
      <c r="L275" s="16"/>
      <c r="M275" s="16"/>
      <c r="N275" s="16"/>
      <c r="O275" s="18"/>
      <c r="P275" s="12"/>
      <c r="Q275" s="16"/>
      <c r="R275" s="25"/>
      <c r="S275" s="25"/>
      <c r="T275" s="25"/>
      <c r="U275" s="25"/>
      <c r="V275" s="26"/>
      <c r="W275" s="25"/>
      <c r="X275" s="25"/>
      <c r="Y275" s="25"/>
      <c r="Z275" s="25"/>
      <c r="AA275" s="25"/>
      <c r="AB275" s="25"/>
      <c r="AC275" s="15"/>
      <c r="AD275" s="23"/>
      <c r="AE275" s="23"/>
      <c r="AF275" s="23"/>
      <c r="AG275" s="45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45"/>
      <c r="AV275" s="16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</row>
    <row r="276" spans="1:98">
      <c r="A276" s="56" t="s">
        <v>643</v>
      </c>
      <c r="B276" s="16"/>
      <c r="C276" s="26"/>
      <c r="D276" s="30"/>
      <c r="E276" s="30"/>
      <c r="F276" s="16"/>
      <c r="G276" s="16"/>
      <c r="H276" s="16"/>
      <c r="I276" s="17"/>
      <c r="J276" s="16"/>
      <c r="K276" s="16"/>
      <c r="L276" s="16"/>
      <c r="M276" s="16"/>
      <c r="N276" s="16"/>
      <c r="O276" s="18"/>
      <c r="P276" s="12"/>
      <c r="Q276" s="16"/>
      <c r="R276" s="25"/>
      <c r="S276" s="25"/>
      <c r="T276" s="25"/>
      <c r="U276" s="25"/>
      <c r="V276" s="26"/>
      <c r="W276" s="25"/>
      <c r="X276" s="25"/>
      <c r="Y276" s="25"/>
      <c r="Z276" s="25"/>
      <c r="AA276" s="25"/>
      <c r="AB276" s="25"/>
      <c r="AC276" s="15"/>
      <c r="AD276" s="23"/>
      <c r="AE276" s="23"/>
      <c r="AF276" s="23"/>
      <c r="AG276" s="45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45"/>
      <c r="AV276" s="16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</row>
    <row r="277" spans="1:98">
      <c r="A277" s="1" t="s">
        <v>289</v>
      </c>
      <c r="B277" s="4" t="s">
        <v>290</v>
      </c>
      <c r="C277" s="4" t="s">
        <v>519</v>
      </c>
      <c r="F277" s="1" t="s">
        <v>308</v>
      </c>
      <c r="G277" s="1" t="s">
        <v>233</v>
      </c>
      <c r="H277" s="1" t="s">
        <v>158</v>
      </c>
      <c r="I277" s="9">
        <v>338.8</v>
      </c>
      <c r="J277" s="38" t="s">
        <v>256</v>
      </c>
      <c r="L277" s="4" t="s">
        <v>426</v>
      </c>
      <c r="M277" s="78" t="s">
        <v>866</v>
      </c>
      <c r="N277" s="78"/>
      <c r="O277" s="1" t="s">
        <v>520</v>
      </c>
      <c r="Q277" s="1" t="s">
        <v>312</v>
      </c>
      <c r="R277" s="4">
        <v>41.5</v>
      </c>
      <c r="S277" s="1">
        <v>2.66</v>
      </c>
      <c r="T277" s="1">
        <v>20.420000000000002</v>
      </c>
      <c r="U277" s="1">
        <v>17.93</v>
      </c>
      <c r="V277" s="1">
        <v>1.92</v>
      </c>
      <c r="W277" s="1">
        <v>0.13</v>
      </c>
      <c r="X277" s="1">
        <v>1.1200000000000001</v>
      </c>
      <c r="Y277" s="4">
        <v>1</v>
      </c>
      <c r="Z277" s="1">
        <v>1.37</v>
      </c>
      <c r="AA277" s="1">
        <v>0.54</v>
      </c>
      <c r="AB277" s="1">
        <v>0.12</v>
      </c>
      <c r="AC277" s="9">
        <v>10.34</v>
      </c>
      <c r="AD277" s="23">
        <f>SUM(R277:AB277)+AC277</f>
        <v>99.050000000000011</v>
      </c>
      <c r="AE277" s="21">
        <f>V277+0.899*U277</f>
        <v>18.039070000000002</v>
      </c>
      <c r="AF277" s="23">
        <f>(X277/40.3)/((X277/40.3)+(AE277/71.844))</f>
        <v>9.9654834825265187E-2</v>
      </c>
      <c r="AH277" s="16">
        <f t="shared" ref="AH277:AR279" si="248">100*R277/SUM($R277:$AB277)</f>
        <v>46.781648066734299</v>
      </c>
      <c r="AI277" s="16">
        <f t="shared" si="248"/>
        <v>2.9985345507834515</v>
      </c>
      <c r="AJ277" s="16">
        <f t="shared" si="248"/>
        <v>23.018825386089507</v>
      </c>
      <c r="AK277" s="16">
        <f t="shared" si="248"/>
        <v>20.211926502085444</v>
      </c>
      <c r="AL277" s="16">
        <f t="shared" si="248"/>
        <v>2.1643557659790327</v>
      </c>
      <c r="AM277" s="16">
        <f t="shared" si="248"/>
        <v>0.14654492165483032</v>
      </c>
      <c r="AN277" s="16">
        <f t="shared" si="248"/>
        <v>1.2625408634877693</v>
      </c>
      <c r="AO277" s="16">
        <f t="shared" si="248"/>
        <v>1.1272686281140796</v>
      </c>
      <c r="AP277" s="16">
        <f t="shared" si="248"/>
        <v>1.5443580205162888</v>
      </c>
      <c r="AQ277" s="16">
        <f t="shared" si="248"/>
        <v>0.60872505918160291</v>
      </c>
      <c r="AR277" s="16">
        <f t="shared" si="248"/>
        <v>0.13527223537368954</v>
      </c>
      <c r="AS277" s="16">
        <f>SUM(AH277:AR277)</f>
        <v>100.00000000000001</v>
      </c>
      <c r="AT277" s="16">
        <f>AL277+0.899*AK277</f>
        <v>20.334877691353846</v>
      </c>
      <c r="AV277" s="1" t="s">
        <v>428</v>
      </c>
      <c r="AY277" s="41"/>
      <c r="AZ277" s="41"/>
      <c r="BA277" s="41">
        <v>495</v>
      </c>
      <c r="BB277" s="41"/>
      <c r="BC277" s="41">
        <v>270</v>
      </c>
      <c r="BD277" s="41"/>
      <c r="BE277" s="41">
        <v>52</v>
      </c>
      <c r="BF277" s="41"/>
      <c r="BG277" s="41">
        <v>99</v>
      </c>
      <c r="BH277" s="41"/>
      <c r="BI277" s="41">
        <v>174</v>
      </c>
      <c r="BJ277" s="41"/>
      <c r="BK277" s="41">
        <v>216</v>
      </c>
      <c r="BL277" s="41"/>
      <c r="BM277" s="41"/>
      <c r="BN277" s="41">
        <v>17</v>
      </c>
      <c r="BO277" s="41"/>
      <c r="BP277" s="41"/>
      <c r="BQ277" s="41">
        <v>45</v>
      </c>
      <c r="BR277" s="41"/>
      <c r="BS277" s="41">
        <v>14</v>
      </c>
      <c r="BT277" s="41"/>
      <c r="BU277" s="41">
        <v>150</v>
      </c>
      <c r="BV277" s="41"/>
      <c r="BW277" s="41">
        <v>9</v>
      </c>
    </row>
    <row r="278" spans="1:98">
      <c r="A278" s="1" t="s">
        <v>289</v>
      </c>
      <c r="B278" s="4" t="s">
        <v>290</v>
      </c>
      <c r="C278" s="1" t="s">
        <v>521</v>
      </c>
      <c r="D278" s="63">
        <v>67.22</v>
      </c>
      <c r="E278" s="63">
        <v>2.93</v>
      </c>
      <c r="F278" s="1" t="s">
        <v>308</v>
      </c>
      <c r="G278" s="1" t="s">
        <v>242</v>
      </c>
      <c r="H278" s="1" t="s">
        <v>158</v>
      </c>
      <c r="I278" s="9">
        <v>359.2</v>
      </c>
      <c r="J278" s="38" t="s">
        <v>256</v>
      </c>
      <c r="L278" s="4" t="s">
        <v>426</v>
      </c>
      <c r="M278" s="78" t="s">
        <v>866</v>
      </c>
      <c r="N278" s="78"/>
      <c r="O278" s="1" t="s">
        <v>522</v>
      </c>
      <c r="Q278" s="1" t="s">
        <v>312</v>
      </c>
      <c r="R278" s="4">
        <v>51.8</v>
      </c>
      <c r="S278" s="1">
        <v>1.99</v>
      </c>
      <c r="T278" s="1">
        <v>15.98</v>
      </c>
      <c r="U278" s="1">
        <v>15.75</v>
      </c>
      <c r="V278" s="1">
        <v>1.63</v>
      </c>
      <c r="W278" s="1">
        <v>0.06</v>
      </c>
      <c r="X278" s="1">
        <v>2.83</v>
      </c>
      <c r="Y278" s="1">
        <v>1.2</v>
      </c>
      <c r="Z278" s="1">
        <v>1.78</v>
      </c>
      <c r="AA278" s="1">
        <v>1.59</v>
      </c>
      <c r="AB278" s="1">
        <v>0.02</v>
      </c>
      <c r="AC278" s="9">
        <v>4.59</v>
      </c>
      <c r="AD278" s="23">
        <f>SUM(R278:AB278)+AC278</f>
        <v>99.22</v>
      </c>
      <c r="AE278" s="21">
        <f>V278+0.899*U278</f>
        <v>15.789249999999999</v>
      </c>
      <c r="AF278" s="23">
        <f>(X278/40.3)/((X278/40.3)+(AE278/71.844))</f>
        <v>0.24215387650987816</v>
      </c>
      <c r="AH278" s="16">
        <f t="shared" si="248"/>
        <v>54.739511782732748</v>
      </c>
      <c r="AI278" s="16">
        <f t="shared" si="248"/>
        <v>2.1029271901088449</v>
      </c>
      <c r="AJ278" s="16">
        <f t="shared" si="248"/>
        <v>16.886822360773539</v>
      </c>
      <c r="AK278" s="16">
        <f t="shared" si="248"/>
        <v>16.643770474479552</v>
      </c>
      <c r="AL278" s="16">
        <f t="shared" si="248"/>
        <v>1.7224981506921695</v>
      </c>
      <c r="AM278" s="16">
        <f t="shared" si="248"/>
        <v>6.3404839902779245E-2</v>
      </c>
      <c r="AN278" s="16">
        <f t="shared" si="248"/>
        <v>2.9905949487477548</v>
      </c>
      <c r="AO278" s="16">
        <f t="shared" si="248"/>
        <v>1.2680967980555851</v>
      </c>
      <c r="AP278" s="16">
        <f t="shared" si="248"/>
        <v>1.8810102504491177</v>
      </c>
      <c r="AQ278" s="16">
        <f t="shared" si="248"/>
        <v>1.68022825742365</v>
      </c>
      <c r="AR278" s="16">
        <f t="shared" si="248"/>
        <v>2.1134946634259751E-2</v>
      </c>
      <c r="AS278" s="16">
        <f>SUM(AH278:AR278)</f>
        <v>100</v>
      </c>
      <c r="AT278" s="16">
        <f>AL278+0.899*AK278</f>
        <v>16.685247807249286</v>
      </c>
      <c r="AV278" s="1" t="s">
        <v>428</v>
      </c>
      <c r="AY278" s="41"/>
      <c r="AZ278" s="41"/>
      <c r="BA278" s="41">
        <v>152</v>
      </c>
      <c r="BB278" s="41"/>
      <c r="BC278" s="41">
        <v>117</v>
      </c>
      <c r="BD278" s="41"/>
      <c r="BE278" s="41">
        <v>39</v>
      </c>
      <c r="BF278" s="41"/>
      <c r="BG278" s="41">
        <v>82</v>
      </c>
      <c r="BH278" s="41"/>
      <c r="BI278" s="41">
        <v>201</v>
      </c>
      <c r="BJ278" s="41"/>
      <c r="BK278" s="41">
        <v>102</v>
      </c>
      <c r="BL278" s="41"/>
      <c r="BM278" s="41"/>
      <c r="BN278" s="41">
        <v>44</v>
      </c>
      <c r="BO278" s="41"/>
      <c r="BP278" s="41"/>
      <c r="BQ278" s="41">
        <v>59</v>
      </c>
      <c r="BR278" s="41"/>
      <c r="BS278" s="41">
        <v>9</v>
      </c>
      <c r="BT278" s="41"/>
      <c r="BU278" s="41">
        <v>114</v>
      </c>
      <c r="BV278" s="41"/>
      <c r="BW278" s="41">
        <v>9</v>
      </c>
    </row>
    <row r="279" spans="1:98">
      <c r="A279" s="1" t="s">
        <v>289</v>
      </c>
      <c r="B279" s="4" t="s">
        <v>290</v>
      </c>
      <c r="C279" s="1" t="s">
        <v>523</v>
      </c>
      <c r="D279" s="63">
        <v>67.22</v>
      </c>
      <c r="E279" s="63">
        <v>2.93</v>
      </c>
      <c r="F279" s="1" t="s">
        <v>308</v>
      </c>
      <c r="G279" s="1" t="s">
        <v>238</v>
      </c>
      <c r="H279" s="1" t="s">
        <v>158</v>
      </c>
      <c r="I279" s="9">
        <v>360.4</v>
      </c>
      <c r="J279" s="38" t="s">
        <v>256</v>
      </c>
      <c r="L279" s="4" t="s">
        <v>426</v>
      </c>
      <c r="M279" s="78" t="s">
        <v>866</v>
      </c>
      <c r="N279" s="78"/>
      <c r="O279" s="1" t="s">
        <v>522</v>
      </c>
      <c r="Q279" s="1" t="s">
        <v>312</v>
      </c>
      <c r="R279" s="4">
        <v>46</v>
      </c>
      <c r="S279" s="1">
        <v>2.27</v>
      </c>
      <c r="T279" s="1">
        <v>18.54</v>
      </c>
      <c r="U279" s="1">
        <v>16.72</v>
      </c>
      <c r="V279" s="1">
        <v>1.46</v>
      </c>
      <c r="W279" s="1">
        <v>0.09</v>
      </c>
      <c r="X279" s="1">
        <v>1.95</v>
      </c>
      <c r="Y279" s="1">
        <v>1.28</v>
      </c>
      <c r="Z279" s="1">
        <v>1.7</v>
      </c>
      <c r="AA279" s="1">
        <v>0.85</v>
      </c>
      <c r="AB279" s="1">
        <v>7.0000000000000007E-2</v>
      </c>
      <c r="AC279" s="9">
        <v>8.81</v>
      </c>
      <c r="AD279" s="23">
        <f>SUM(R279:AB279)+AC279</f>
        <v>99.74</v>
      </c>
      <c r="AE279" s="21">
        <f>V279+0.899*U279</f>
        <v>16.49128</v>
      </c>
      <c r="AF279" s="23">
        <f>(X279/40.3)/((X279/40.3)+(AE279/71.844))</f>
        <v>0.17409814556379458</v>
      </c>
      <c r="AH279" s="16">
        <f t="shared" si="248"/>
        <v>50.588364676124499</v>
      </c>
      <c r="AI279" s="16">
        <f t="shared" si="248"/>
        <v>2.4964258220609263</v>
      </c>
      <c r="AJ279" s="16">
        <f t="shared" si="248"/>
        <v>20.389310458594526</v>
      </c>
      <c r="AK279" s="16">
        <f t="shared" si="248"/>
        <v>18.387770812713079</v>
      </c>
      <c r="AL279" s="16">
        <f t="shared" si="248"/>
        <v>1.6056307049378644</v>
      </c>
      <c r="AM279" s="16">
        <f t="shared" si="248"/>
        <v>9.8977235235895758E-2</v>
      </c>
      <c r="AN279" s="16">
        <f t="shared" si="248"/>
        <v>2.1445067634444079</v>
      </c>
      <c r="AO279" s="16">
        <f t="shared" si="248"/>
        <v>1.4076762344660729</v>
      </c>
      <c r="AP279" s="16">
        <f t="shared" si="248"/>
        <v>1.869569998900253</v>
      </c>
      <c r="AQ279" s="16">
        <f t="shared" si="248"/>
        <v>0.9347849994501265</v>
      </c>
      <c r="AR279" s="16">
        <f t="shared" si="248"/>
        <v>7.6982294072363372E-2</v>
      </c>
      <c r="AS279" s="16">
        <f>SUM(AH279:AR279)</f>
        <v>100.00000000000001</v>
      </c>
      <c r="AT279" s="16">
        <f>AL279+0.899*AK279</f>
        <v>18.136236665566923</v>
      </c>
      <c r="AV279" s="1" t="s">
        <v>428</v>
      </c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</row>
    <row r="280" spans="1:98">
      <c r="A280" s="1" t="s">
        <v>289</v>
      </c>
      <c r="B280" s="4" t="s">
        <v>290</v>
      </c>
      <c r="C280" s="40" t="s">
        <v>661</v>
      </c>
      <c r="D280" s="63">
        <v>67.22</v>
      </c>
      <c r="E280" s="63">
        <v>2.93</v>
      </c>
      <c r="F280" s="1" t="s">
        <v>308</v>
      </c>
      <c r="G280" s="4"/>
      <c r="H280" s="4"/>
      <c r="J280" s="40" t="s">
        <v>256</v>
      </c>
      <c r="K280" s="40"/>
      <c r="L280" s="4" t="s">
        <v>423</v>
      </c>
      <c r="M280" s="78" t="s">
        <v>867</v>
      </c>
      <c r="N280" s="78"/>
      <c r="O280" s="4"/>
      <c r="P280" s="4"/>
      <c r="Q280" s="4"/>
      <c r="AD280" s="23"/>
      <c r="AE280" s="23"/>
      <c r="AF280" s="23"/>
      <c r="AG280" s="45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45"/>
      <c r="AV280" s="4"/>
      <c r="AY280" s="39">
        <v>37.61</v>
      </c>
      <c r="BR280" s="39">
        <v>54.99</v>
      </c>
      <c r="BT280" s="39">
        <v>331.8</v>
      </c>
      <c r="BV280" s="39">
        <v>33.65</v>
      </c>
      <c r="BW280" s="39"/>
      <c r="CA280" s="39">
        <v>41.44</v>
      </c>
      <c r="CB280" s="39">
        <v>20.81</v>
      </c>
      <c r="CC280" s="39">
        <v>83.8</v>
      </c>
      <c r="CD280" s="39">
        <v>9.99</v>
      </c>
      <c r="CE280" s="39">
        <v>47.28</v>
      </c>
      <c r="CF280" s="39">
        <v>13.08</v>
      </c>
      <c r="CG280" s="39">
        <v>4.43</v>
      </c>
      <c r="CH280" s="39">
        <v>13.99</v>
      </c>
      <c r="CI280" s="39">
        <v>2.37</v>
      </c>
      <c r="CJ280" s="39">
        <v>12.74</v>
      </c>
      <c r="CK280" s="39">
        <v>2.52</v>
      </c>
      <c r="CL280" s="39">
        <v>6.63</v>
      </c>
      <c r="CM280" s="39">
        <v>1.03</v>
      </c>
      <c r="CN280" s="39">
        <v>6.12</v>
      </c>
      <c r="CO280" s="39">
        <v>0.87</v>
      </c>
      <c r="CP280" s="39">
        <v>7.58</v>
      </c>
      <c r="CQ280" s="39">
        <v>2.1</v>
      </c>
      <c r="CR280" s="39">
        <v>5.61</v>
      </c>
      <c r="CS280" s="39">
        <v>2.5299999999999998</v>
      </c>
      <c r="CT280" s="39">
        <v>0.51</v>
      </c>
    </row>
    <row r="281" spans="1:98">
      <c r="A281" s="1" t="s">
        <v>289</v>
      </c>
      <c r="B281" s="4" t="s">
        <v>290</v>
      </c>
      <c r="C281" s="40" t="s">
        <v>134</v>
      </c>
      <c r="D281" s="63">
        <v>67.22</v>
      </c>
      <c r="E281" s="63">
        <v>2.93</v>
      </c>
      <c r="F281" s="1" t="s">
        <v>308</v>
      </c>
      <c r="G281" s="4"/>
      <c r="H281" s="4"/>
      <c r="J281" s="40" t="s">
        <v>256</v>
      </c>
      <c r="K281" s="40"/>
      <c r="L281" s="4" t="s">
        <v>423</v>
      </c>
      <c r="M281" s="78" t="s">
        <v>867</v>
      </c>
      <c r="N281" s="78"/>
      <c r="O281" s="40"/>
      <c r="P281" s="4"/>
      <c r="Q281" s="4"/>
      <c r="R281" s="4">
        <v>53.04</v>
      </c>
      <c r="S281" s="4">
        <v>1.42</v>
      </c>
      <c r="T281" s="4">
        <v>11.56</v>
      </c>
      <c r="U281" s="4">
        <v>9.01</v>
      </c>
      <c r="W281" s="4">
        <v>0.26</v>
      </c>
      <c r="X281" s="4">
        <v>9.6999999999999993</v>
      </c>
      <c r="Y281" s="4">
        <v>12.81</v>
      </c>
      <c r="Z281" s="4">
        <v>1.94</v>
      </c>
      <c r="AA281" s="4">
        <v>0.12</v>
      </c>
      <c r="AB281" s="4">
        <v>0.13</v>
      </c>
      <c r="AD281" s="23">
        <f t="shared" ref="AD281:AD291" si="249">SUM(R281:AB281)+AC281</f>
        <v>99.990000000000009</v>
      </c>
      <c r="AE281" s="21">
        <f t="shared" ref="AE281:AE291" si="250">V281+0.899*U281</f>
        <v>8.09999</v>
      </c>
      <c r="AF281" s="23">
        <f t="shared" ref="AF281:AF291" si="251">(X281/40.3)/((X281/40.3)+(AE281/71.844))</f>
        <v>0.68100814375986196</v>
      </c>
      <c r="AG281" s="45"/>
      <c r="AH281" s="16">
        <f t="shared" ref="AH281:AH291" si="252">100*R281/SUM($R281:$AB281)</f>
        <v>53.045304530453038</v>
      </c>
      <c r="AI281" s="16">
        <f t="shared" ref="AI281:AI291" si="253">100*S281/SUM($R281:$AB281)</f>
        <v>1.4201420142014201</v>
      </c>
      <c r="AJ281" s="16">
        <f t="shared" ref="AJ281:AJ291" si="254">100*T281/SUM($R281:$AB281)</f>
        <v>11.56115611561156</v>
      </c>
      <c r="AK281" s="16">
        <f t="shared" ref="AK281:AK291" si="255">100*U281/SUM($R281:$AB281)</f>
        <v>9.0109010901090105</v>
      </c>
      <c r="AL281" s="16">
        <f t="shared" ref="AL281:AL291" si="256">100*V281/SUM($R281:$AB281)</f>
        <v>0</v>
      </c>
      <c r="AM281" s="16">
        <f t="shared" ref="AM281:AM291" si="257">100*W281/SUM($R281:$AB281)</f>
        <v>0.26002600260025999</v>
      </c>
      <c r="AN281" s="16">
        <f t="shared" ref="AN281:AN291" si="258">100*X281/SUM($R281:$AB281)</f>
        <v>9.7009700970096997</v>
      </c>
      <c r="AO281" s="16">
        <f t="shared" ref="AO281:AO291" si="259">100*Y281/SUM($R281:$AB281)</f>
        <v>12.81128112811281</v>
      </c>
      <c r="AP281" s="16">
        <f t="shared" ref="AP281:AP291" si="260">100*Z281/SUM($R281:$AB281)</f>
        <v>1.94019401940194</v>
      </c>
      <c r="AQ281" s="16">
        <f t="shared" ref="AQ281:AQ291" si="261">100*AA281/SUM($R281:$AB281)</f>
        <v>0.12001200120012</v>
      </c>
      <c r="AR281" s="16">
        <f t="shared" ref="AR281:AR291" si="262">100*AB281/SUM($R281:$AB281)</f>
        <v>0.13001300130012999</v>
      </c>
      <c r="AS281" s="16">
        <f t="shared" ref="AS281:AS291" si="263">SUM(AH281:AR281)</f>
        <v>99.999999999999986</v>
      </c>
      <c r="AT281" s="16">
        <f t="shared" ref="AT281:AT291" si="264">AL281+0.899*AK281</f>
        <v>8.1008000800079998</v>
      </c>
      <c r="AU281" s="45"/>
      <c r="AV281" s="4"/>
      <c r="AY281" s="39">
        <v>32.31</v>
      </c>
      <c r="BR281" s="39">
        <v>24.85</v>
      </c>
      <c r="BT281" s="39">
        <v>78.88</v>
      </c>
      <c r="BV281" s="39">
        <v>3.44</v>
      </c>
      <c r="BW281" s="39"/>
      <c r="CA281" s="39">
        <v>17.87</v>
      </c>
      <c r="CB281" s="39">
        <v>4.68</v>
      </c>
      <c r="CC281" s="39">
        <v>9.34</v>
      </c>
      <c r="CD281" s="39">
        <v>1.42</v>
      </c>
      <c r="CE281" s="39">
        <v>7.92</v>
      </c>
      <c r="CF281" s="39">
        <v>2.59</v>
      </c>
      <c r="CG281" s="39">
        <v>0.96</v>
      </c>
      <c r="CH281" s="39">
        <v>3.4</v>
      </c>
      <c r="CI281" s="39">
        <v>0.67</v>
      </c>
      <c r="CJ281" s="39">
        <v>4.03</v>
      </c>
      <c r="CK281" s="39">
        <v>0.88</v>
      </c>
      <c r="CL281" s="39">
        <v>2.4900000000000002</v>
      </c>
      <c r="CM281" s="39">
        <v>0.39</v>
      </c>
      <c r="CN281" s="39">
        <v>2.29</v>
      </c>
      <c r="CO281" s="39">
        <v>0.34</v>
      </c>
      <c r="CP281" s="39">
        <v>2.19</v>
      </c>
      <c r="CQ281" s="39">
        <v>0.21</v>
      </c>
      <c r="CR281" s="39">
        <v>0.32</v>
      </c>
      <c r="CS281" s="39">
        <v>0.22</v>
      </c>
      <c r="CT281" s="39">
        <v>0.09</v>
      </c>
    </row>
    <row r="282" spans="1:98">
      <c r="A282" s="1" t="s">
        <v>289</v>
      </c>
      <c r="B282" s="4" t="s">
        <v>290</v>
      </c>
      <c r="C282" s="40" t="s">
        <v>662</v>
      </c>
      <c r="D282" s="63">
        <v>67.22</v>
      </c>
      <c r="E282" s="63">
        <v>2.93</v>
      </c>
      <c r="F282" s="1" t="s">
        <v>308</v>
      </c>
      <c r="G282" s="4"/>
      <c r="H282" s="4"/>
      <c r="J282" s="40" t="s">
        <v>256</v>
      </c>
      <c r="K282" s="40"/>
      <c r="L282" s="4" t="s">
        <v>423</v>
      </c>
      <c r="M282" s="78" t="s">
        <v>867</v>
      </c>
      <c r="N282" s="78"/>
      <c r="O282" s="40"/>
      <c r="P282" s="4"/>
      <c r="Q282" s="4"/>
      <c r="R282" s="4">
        <v>48.43</v>
      </c>
      <c r="S282" s="4">
        <v>1.53</v>
      </c>
      <c r="T282" s="4">
        <v>15.84</v>
      </c>
      <c r="U282" s="4">
        <v>11.78</v>
      </c>
      <c r="W282" s="4">
        <v>0.16</v>
      </c>
      <c r="X282" s="4">
        <v>8.39</v>
      </c>
      <c r="Y282" s="4">
        <v>11.47</v>
      </c>
      <c r="Z282" s="4">
        <v>2.2799999999999998</v>
      </c>
      <c r="AA282" s="4">
        <v>0.03</v>
      </c>
      <c r="AB282" s="4">
        <v>0.1</v>
      </c>
      <c r="AD282" s="23">
        <f t="shared" si="249"/>
        <v>100.00999999999999</v>
      </c>
      <c r="AE282" s="21">
        <f t="shared" si="250"/>
        <v>10.59022</v>
      </c>
      <c r="AF282" s="23">
        <f t="shared" si="251"/>
        <v>0.58546651110902137</v>
      </c>
      <c r="AG282" s="45"/>
      <c r="AH282" s="16">
        <f t="shared" si="252"/>
        <v>48.425157484251578</v>
      </c>
      <c r="AI282" s="16">
        <f t="shared" si="253"/>
        <v>1.5298470152984702</v>
      </c>
      <c r="AJ282" s="16">
        <f t="shared" si="254"/>
        <v>15.838416158384163</v>
      </c>
      <c r="AK282" s="16">
        <f t="shared" si="255"/>
        <v>11.778822117788222</v>
      </c>
      <c r="AL282" s="16">
        <f t="shared" si="256"/>
        <v>0</v>
      </c>
      <c r="AM282" s="16">
        <f t="shared" si="257"/>
        <v>0.15998400159984003</v>
      </c>
      <c r="AN282" s="16">
        <f t="shared" si="258"/>
        <v>8.3891610838916115</v>
      </c>
      <c r="AO282" s="16">
        <f t="shared" si="259"/>
        <v>11.468853114688532</v>
      </c>
      <c r="AP282" s="16">
        <f t="shared" si="260"/>
        <v>2.2797720227977201</v>
      </c>
      <c r="AQ282" s="16">
        <f t="shared" si="261"/>
        <v>2.9997000299970007E-2</v>
      </c>
      <c r="AR282" s="16">
        <f t="shared" si="262"/>
        <v>9.9990000999900019E-2</v>
      </c>
      <c r="AS282" s="16">
        <f t="shared" si="263"/>
        <v>99.999999999999986</v>
      </c>
      <c r="AT282" s="16">
        <f t="shared" si="264"/>
        <v>10.589161083891611</v>
      </c>
      <c r="AU282" s="45"/>
      <c r="AV282" s="4"/>
      <c r="AY282" s="39"/>
      <c r="BR282" s="39">
        <v>20.56</v>
      </c>
      <c r="BT282" s="39">
        <v>78.569999999999993</v>
      </c>
      <c r="BV282" s="39">
        <v>3.95</v>
      </c>
      <c r="BW282" s="39"/>
      <c r="CA282" s="39">
        <v>24.37</v>
      </c>
      <c r="CB282" s="39">
        <v>2.4300000000000002</v>
      </c>
      <c r="CC282" s="39">
        <v>9.94</v>
      </c>
      <c r="CD282" s="39">
        <v>1.46</v>
      </c>
      <c r="CE282" s="39">
        <v>8.02</v>
      </c>
      <c r="CF282" s="39">
        <v>2.48</v>
      </c>
      <c r="CG282" s="39">
        <v>0.9</v>
      </c>
      <c r="CH282" s="39">
        <v>2.73</v>
      </c>
      <c r="CI282" s="39">
        <v>0.6</v>
      </c>
      <c r="CJ282" s="39">
        <v>3.56</v>
      </c>
      <c r="CK282" s="39">
        <v>0.75</v>
      </c>
      <c r="CL282" s="39">
        <v>2.06</v>
      </c>
      <c r="CM282" s="39">
        <v>0.31</v>
      </c>
      <c r="CN282" s="39">
        <v>1.8</v>
      </c>
      <c r="CO282" s="39">
        <v>0.26</v>
      </c>
      <c r="CP282" s="39">
        <v>2.11</v>
      </c>
      <c r="CQ282" s="39">
        <v>0.26</v>
      </c>
      <c r="CR282" s="39">
        <v>0.85</v>
      </c>
      <c r="CS282" s="39">
        <v>0.39</v>
      </c>
      <c r="CT282" s="39">
        <v>0.09</v>
      </c>
    </row>
    <row r="283" spans="1:98">
      <c r="A283" s="1" t="s">
        <v>289</v>
      </c>
      <c r="B283" s="4" t="s">
        <v>290</v>
      </c>
      <c r="C283" s="4" t="s">
        <v>524</v>
      </c>
      <c r="D283" s="63">
        <v>67.22</v>
      </c>
      <c r="E283" s="63">
        <v>2.93</v>
      </c>
      <c r="F283" s="1" t="s">
        <v>308</v>
      </c>
      <c r="G283" s="1" t="s">
        <v>241</v>
      </c>
      <c r="H283" s="1" t="s">
        <v>158</v>
      </c>
      <c r="I283" s="9">
        <v>379.3</v>
      </c>
      <c r="J283" s="38" t="s">
        <v>256</v>
      </c>
      <c r="L283" s="4" t="s">
        <v>426</v>
      </c>
      <c r="M283" s="78" t="s">
        <v>866</v>
      </c>
      <c r="N283" s="78"/>
      <c r="Q283" s="1" t="s">
        <v>312</v>
      </c>
      <c r="R283" s="4">
        <v>49.9</v>
      </c>
      <c r="S283" s="1">
        <v>1.66</v>
      </c>
      <c r="T283" s="1">
        <v>16.54</v>
      </c>
      <c r="U283" s="1">
        <v>14.11</v>
      </c>
      <c r="V283" s="1">
        <v>1.86</v>
      </c>
      <c r="W283" s="1">
        <v>0.09</v>
      </c>
      <c r="X283" s="1">
        <v>3.22</v>
      </c>
      <c r="Y283" s="1">
        <v>1.29</v>
      </c>
      <c r="Z283" s="1">
        <v>1.84</v>
      </c>
      <c r="AA283" s="1">
        <v>1.27</v>
      </c>
      <c r="AB283" s="1">
        <v>0.09</v>
      </c>
      <c r="AC283" s="9">
        <v>8.01</v>
      </c>
      <c r="AD283" s="23">
        <f t="shared" si="249"/>
        <v>99.88000000000001</v>
      </c>
      <c r="AE283" s="21">
        <f t="shared" si="250"/>
        <v>14.544889999999999</v>
      </c>
      <c r="AF283" s="23">
        <f t="shared" si="251"/>
        <v>0.28298299760696177</v>
      </c>
      <c r="AH283" s="16">
        <f t="shared" si="252"/>
        <v>54.31588113638837</v>
      </c>
      <c r="AI283" s="16">
        <f t="shared" si="253"/>
        <v>1.8069010558397736</v>
      </c>
      <c r="AJ283" s="16">
        <f t="shared" si="254"/>
        <v>18.003700881680636</v>
      </c>
      <c r="AK283" s="16">
        <f t="shared" si="255"/>
        <v>15.358658974638075</v>
      </c>
      <c r="AL283" s="16">
        <f t="shared" si="256"/>
        <v>2.0245999782301078</v>
      </c>
      <c r="AM283" s="16">
        <f t="shared" si="257"/>
        <v>9.7964515075650377E-2</v>
      </c>
      <c r="AN283" s="16">
        <f t="shared" si="258"/>
        <v>3.50495265048438</v>
      </c>
      <c r="AO283" s="16">
        <f t="shared" si="259"/>
        <v>1.4041580494176553</v>
      </c>
      <c r="AP283" s="16">
        <f t="shared" si="260"/>
        <v>2.0028300859910741</v>
      </c>
      <c r="AQ283" s="16">
        <f t="shared" si="261"/>
        <v>1.3823881571786218</v>
      </c>
      <c r="AR283" s="16">
        <f t="shared" si="262"/>
        <v>9.7964515075650377E-2</v>
      </c>
      <c r="AS283" s="16">
        <f t="shared" si="263"/>
        <v>100.00000000000001</v>
      </c>
      <c r="AT283" s="16">
        <f t="shared" si="264"/>
        <v>15.832034396429737</v>
      </c>
      <c r="AV283" s="1" t="s">
        <v>428</v>
      </c>
      <c r="AY283" s="41"/>
      <c r="AZ283" s="41"/>
      <c r="BA283" s="41">
        <v>264</v>
      </c>
      <c r="BB283" s="41"/>
      <c r="BC283" s="41">
        <v>152</v>
      </c>
      <c r="BD283" s="41"/>
      <c r="BE283" s="41">
        <v>36</v>
      </c>
      <c r="BF283" s="41"/>
      <c r="BG283" s="41">
        <v>114</v>
      </c>
      <c r="BH283" s="41"/>
      <c r="BI283" s="41">
        <v>161</v>
      </c>
      <c r="BJ283" s="41"/>
      <c r="BK283" s="41">
        <v>73</v>
      </c>
      <c r="BL283" s="41"/>
      <c r="BM283" s="41"/>
      <c r="BN283" s="41">
        <v>34</v>
      </c>
      <c r="BO283" s="41"/>
      <c r="BP283" s="41"/>
      <c r="BQ283" s="41">
        <v>65</v>
      </c>
      <c r="BR283" s="41"/>
      <c r="BS283" s="41">
        <v>17</v>
      </c>
      <c r="BT283" s="41"/>
      <c r="BU283" s="41">
        <v>97</v>
      </c>
      <c r="BV283" s="41"/>
      <c r="BW283" s="41">
        <v>5</v>
      </c>
    </row>
    <row r="284" spans="1:98">
      <c r="A284" s="1" t="s">
        <v>289</v>
      </c>
      <c r="B284" s="4" t="s">
        <v>290</v>
      </c>
      <c r="C284" s="4" t="s">
        <v>525</v>
      </c>
      <c r="D284" s="63">
        <v>67.22</v>
      </c>
      <c r="E284" s="63">
        <v>2.93</v>
      </c>
      <c r="F284" s="1" t="s">
        <v>308</v>
      </c>
      <c r="G284" s="1" t="s">
        <v>196</v>
      </c>
      <c r="H284" s="1" t="s">
        <v>158</v>
      </c>
      <c r="I284" s="9">
        <v>383.6</v>
      </c>
      <c r="J284" s="38" t="s">
        <v>256</v>
      </c>
      <c r="L284" s="4" t="s">
        <v>426</v>
      </c>
      <c r="M284" s="78" t="s">
        <v>866</v>
      </c>
      <c r="N284" s="78"/>
      <c r="Q284" s="1" t="s">
        <v>312</v>
      </c>
      <c r="R284" s="4">
        <v>48.2</v>
      </c>
      <c r="S284" s="1">
        <v>1.85</v>
      </c>
      <c r="T284" s="1">
        <v>14.2</v>
      </c>
      <c r="U284" s="1">
        <v>6.89</v>
      </c>
      <c r="V284" s="1">
        <v>5.98</v>
      </c>
      <c r="W284" s="1">
        <v>0.18</v>
      </c>
      <c r="X284" s="1">
        <v>7.62</v>
      </c>
      <c r="Y284" s="1">
        <v>11.4</v>
      </c>
      <c r="Z284" s="1">
        <v>2.2400000000000002</v>
      </c>
      <c r="AA284" s="1">
        <v>0.17</v>
      </c>
      <c r="AB284" s="1">
        <v>0.16</v>
      </c>
      <c r="AC284" s="9">
        <v>1.65</v>
      </c>
      <c r="AD284" s="23">
        <f t="shared" si="249"/>
        <v>100.54000000000002</v>
      </c>
      <c r="AE284" s="21">
        <f t="shared" si="250"/>
        <v>12.174110000000001</v>
      </c>
      <c r="AF284" s="23">
        <f t="shared" si="251"/>
        <v>0.52737520651984549</v>
      </c>
      <c r="AH284" s="16">
        <f t="shared" si="252"/>
        <v>48.741025381737273</v>
      </c>
      <c r="AI284" s="16">
        <f t="shared" si="253"/>
        <v>1.8707654970168872</v>
      </c>
      <c r="AJ284" s="16">
        <f t="shared" si="254"/>
        <v>14.359389220345836</v>
      </c>
      <c r="AK284" s="16">
        <f t="shared" si="255"/>
        <v>6.9673374456466775</v>
      </c>
      <c r="AL284" s="16">
        <f t="shared" si="256"/>
        <v>6.0471230660329649</v>
      </c>
      <c r="AM284" s="16">
        <f t="shared" si="257"/>
        <v>0.18202042673677821</v>
      </c>
      <c r="AN284" s="16">
        <f t="shared" si="258"/>
        <v>7.7055313985236111</v>
      </c>
      <c r="AO284" s="16">
        <f t="shared" si="259"/>
        <v>11.527960359995953</v>
      </c>
      <c r="AP284" s="16">
        <f t="shared" si="260"/>
        <v>2.2651430882799071</v>
      </c>
      <c r="AQ284" s="16">
        <f t="shared" si="261"/>
        <v>0.17190818080695719</v>
      </c>
      <c r="AR284" s="16">
        <f t="shared" si="262"/>
        <v>0.1617959348771362</v>
      </c>
      <c r="AS284" s="16">
        <f t="shared" si="263"/>
        <v>99.999999999999986</v>
      </c>
      <c r="AT284" s="16">
        <f t="shared" si="264"/>
        <v>12.310759429669329</v>
      </c>
      <c r="AV284" s="1" t="s">
        <v>428</v>
      </c>
      <c r="AY284" s="41"/>
      <c r="AZ284" s="41"/>
      <c r="BA284" s="41">
        <v>356</v>
      </c>
      <c r="BB284" s="41"/>
      <c r="BC284" s="41">
        <v>227</v>
      </c>
      <c r="BD284" s="41"/>
      <c r="BE284" s="41">
        <v>48</v>
      </c>
      <c r="BF284" s="41"/>
      <c r="BG284" s="41">
        <v>103</v>
      </c>
      <c r="BH284" s="41"/>
      <c r="BI284" s="41">
        <v>139</v>
      </c>
      <c r="BJ284" s="41"/>
      <c r="BK284" s="41">
        <v>103</v>
      </c>
      <c r="BL284" s="41"/>
      <c r="BM284" s="41"/>
      <c r="BN284" s="41">
        <v>9</v>
      </c>
      <c r="BO284" s="41"/>
      <c r="BP284" s="41"/>
      <c r="BQ284" s="41">
        <v>205</v>
      </c>
      <c r="BR284" s="41"/>
      <c r="BS284" s="41">
        <v>31</v>
      </c>
      <c r="BT284" s="41"/>
      <c r="BU284" s="41">
        <v>104</v>
      </c>
      <c r="BV284" s="41"/>
      <c r="BW284" s="41">
        <v>6</v>
      </c>
    </row>
    <row r="285" spans="1:98">
      <c r="A285" s="1" t="s">
        <v>289</v>
      </c>
      <c r="B285" s="4" t="s">
        <v>290</v>
      </c>
      <c r="C285" s="4" t="s">
        <v>526</v>
      </c>
      <c r="D285" s="63">
        <v>67.22</v>
      </c>
      <c r="E285" s="63">
        <v>2.93</v>
      </c>
      <c r="F285" s="1" t="s">
        <v>308</v>
      </c>
      <c r="G285" s="1" t="s">
        <v>240</v>
      </c>
      <c r="H285" s="1" t="s">
        <v>158</v>
      </c>
      <c r="I285" s="9">
        <v>392.6</v>
      </c>
      <c r="J285" s="38" t="s">
        <v>256</v>
      </c>
      <c r="L285" s="4" t="s">
        <v>426</v>
      </c>
      <c r="M285" s="78" t="s">
        <v>866</v>
      </c>
      <c r="N285" s="78"/>
      <c r="Q285" s="1" t="s">
        <v>312</v>
      </c>
      <c r="R285" s="4">
        <v>49</v>
      </c>
      <c r="S285" s="1">
        <v>2.08</v>
      </c>
      <c r="T285" s="1">
        <v>14.87</v>
      </c>
      <c r="U285" s="1">
        <v>15.21</v>
      </c>
      <c r="V285" s="1">
        <v>1.96</v>
      </c>
      <c r="W285" s="1">
        <v>0.09</v>
      </c>
      <c r="X285" s="1">
        <v>2.9</v>
      </c>
      <c r="Y285" s="1">
        <v>1.61</v>
      </c>
      <c r="Z285" s="1">
        <v>1.66</v>
      </c>
      <c r="AA285" s="1">
        <v>2.1800000000000002</v>
      </c>
      <c r="AB285" s="1">
        <v>0.14000000000000001</v>
      </c>
      <c r="AC285" s="9">
        <v>6.52</v>
      </c>
      <c r="AD285" s="23">
        <f t="shared" si="249"/>
        <v>98.22</v>
      </c>
      <c r="AE285" s="21">
        <f t="shared" si="250"/>
        <v>15.633790000000001</v>
      </c>
      <c r="AF285" s="23">
        <f t="shared" si="251"/>
        <v>0.24850936289997208</v>
      </c>
      <c r="AH285" s="16">
        <f t="shared" si="252"/>
        <v>53.435114503816791</v>
      </c>
      <c r="AI285" s="16">
        <f t="shared" si="253"/>
        <v>2.2682660850599783</v>
      </c>
      <c r="AJ285" s="16">
        <f t="shared" si="254"/>
        <v>16.215921483097055</v>
      </c>
      <c r="AK285" s="16">
        <f t="shared" si="255"/>
        <v>16.586695747001091</v>
      </c>
      <c r="AL285" s="16">
        <f t="shared" si="256"/>
        <v>2.1374045801526718</v>
      </c>
      <c r="AM285" s="16">
        <f t="shared" si="257"/>
        <v>9.8146128680479824E-2</v>
      </c>
      <c r="AN285" s="16">
        <f t="shared" si="258"/>
        <v>3.1624863685932385</v>
      </c>
      <c r="AO285" s="16">
        <f t="shared" si="259"/>
        <v>1.7557251908396947</v>
      </c>
      <c r="AP285" s="16">
        <f t="shared" si="260"/>
        <v>1.8102508178844057</v>
      </c>
      <c r="AQ285" s="16">
        <f t="shared" si="261"/>
        <v>2.3773173391494002</v>
      </c>
      <c r="AR285" s="16">
        <f t="shared" si="262"/>
        <v>0.15267175572519084</v>
      </c>
      <c r="AS285" s="16">
        <f t="shared" si="263"/>
        <v>100</v>
      </c>
      <c r="AT285" s="16">
        <f t="shared" si="264"/>
        <v>17.048844056706653</v>
      </c>
      <c r="AV285" s="1" t="s">
        <v>428</v>
      </c>
      <c r="AY285" s="41"/>
      <c r="AZ285" s="41"/>
      <c r="BA285" s="41">
        <v>221</v>
      </c>
      <c r="BB285" s="41"/>
      <c r="BC285" s="41">
        <v>103</v>
      </c>
      <c r="BD285" s="41"/>
      <c r="BE285" s="41">
        <v>35</v>
      </c>
      <c r="BF285" s="41"/>
      <c r="BG285" s="41">
        <v>57</v>
      </c>
      <c r="BH285" s="41"/>
      <c r="BI285" s="41">
        <v>132</v>
      </c>
      <c r="BJ285" s="41"/>
      <c r="BK285" s="41">
        <v>161</v>
      </c>
      <c r="BL285" s="41"/>
      <c r="BM285" s="41"/>
      <c r="BN285" s="41">
        <v>62</v>
      </c>
      <c r="BO285" s="41"/>
      <c r="BP285" s="41"/>
      <c r="BQ285" s="41">
        <v>87</v>
      </c>
      <c r="BR285" s="41"/>
      <c r="BS285" s="41">
        <v>37</v>
      </c>
      <c r="BT285" s="41"/>
      <c r="BU285" s="41">
        <v>118</v>
      </c>
      <c r="BV285" s="41"/>
      <c r="BW285" s="41">
        <v>8</v>
      </c>
    </row>
    <row r="286" spans="1:98">
      <c r="A286" s="1" t="s">
        <v>289</v>
      </c>
      <c r="B286" s="4" t="s">
        <v>290</v>
      </c>
      <c r="C286" s="60" t="s">
        <v>527</v>
      </c>
      <c r="D286" s="63">
        <v>67.22</v>
      </c>
      <c r="E286" s="63">
        <v>2.93</v>
      </c>
      <c r="F286" s="1" t="s">
        <v>308</v>
      </c>
      <c r="G286" s="1" t="s">
        <v>168</v>
      </c>
      <c r="H286" s="1" t="s">
        <v>158</v>
      </c>
      <c r="I286" s="9">
        <v>396.2</v>
      </c>
      <c r="J286" s="38" t="s">
        <v>256</v>
      </c>
      <c r="L286" s="4" t="s">
        <v>426</v>
      </c>
      <c r="M286" s="78" t="s">
        <v>866</v>
      </c>
      <c r="N286" s="78"/>
      <c r="Q286" s="1" t="s">
        <v>312</v>
      </c>
      <c r="R286" s="4">
        <v>48.2</v>
      </c>
      <c r="S286" s="1">
        <v>1.97</v>
      </c>
      <c r="T286" s="1">
        <v>14.53</v>
      </c>
      <c r="U286" s="1">
        <v>5.89</v>
      </c>
      <c r="V286" s="1">
        <v>6.3</v>
      </c>
      <c r="W286" s="1">
        <v>0.28000000000000003</v>
      </c>
      <c r="X286" s="1">
        <v>7.35</v>
      </c>
      <c r="Y286" s="1">
        <v>10.44</v>
      </c>
      <c r="Z286" s="1">
        <v>2.61</v>
      </c>
      <c r="AA286" s="1">
        <v>0.14000000000000001</v>
      </c>
      <c r="AB286" s="1">
        <v>0.18</v>
      </c>
      <c r="AC286" s="9">
        <v>1.75</v>
      </c>
      <c r="AD286" s="23">
        <f t="shared" si="249"/>
        <v>99.64</v>
      </c>
      <c r="AE286" s="21">
        <f t="shared" si="250"/>
        <v>11.59511</v>
      </c>
      <c r="AF286" s="23">
        <f t="shared" si="251"/>
        <v>0.53052760407973565</v>
      </c>
      <c r="AH286" s="16">
        <f t="shared" si="252"/>
        <v>49.238941669220551</v>
      </c>
      <c r="AI286" s="16">
        <f t="shared" si="253"/>
        <v>2.0124629686382676</v>
      </c>
      <c r="AJ286" s="16">
        <f t="shared" si="254"/>
        <v>14.843191337215242</v>
      </c>
      <c r="AK286" s="16">
        <f t="shared" si="255"/>
        <v>6.0169578097864953</v>
      </c>
      <c r="AL286" s="16">
        <f t="shared" si="256"/>
        <v>6.4357952804167944</v>
      </c>
      <c r="AM286" s="16">
        <f t="shared" si="257"/>
        <v>0.28603534579630202</v>
      </c>
      <c r="AN286" s="16">
        <f t="shared" si="258"/>
        <v>7.5084278271529268</v>
      </c>
      <c r="AO286" s="16">
        <f t="shared" si="259"/>
        <v>10.665032178976402</v>
      </c>
      <c r="AP286" s="16">
        <f t="shared" si="260"/>
        <v>2.6662580447441004</v>
      </c>
      <c r="AQ286" s="16">
        <f t="shared" si="261"/>
        <v>0.14301767289815101</v>
      </c>
      <c r="AR286" s="16">
        <f t="shared" si="262"/>
        <v>0.18387986515476556</v>
      </c>
      <c r="AS286" s="16">
        <f t="shared" si="263"/>
        <v>100</v>
      </c>
      <c r="AT286" s="16">
        <f t="shared" si="264"/>
        <v>11.845040351414854</v>
      </c>
      <c r="AV286" s="1" t="s">
        <v>428</v>
      </c>
      <c r="AY286" s="41"/>
      <c r="AZ286" s="41"/>
      <c r="BA286" s="41">
        <v>379</v>
      </c>
      <c r="BB286" s="41"/>
      <c r="BC286" s="41">
        <v>108</v>
      </c>
      <c r="BD286" s="41"/>
      <c r="BE286" s="41">
        <v>53</v>
      </c>
      <c r="BF286" s="41"/>
      <c r="BG286" s="41">
        <v>83</v>
      </c>
      <c r="BH286" s="41"/>
      <c r="BI286" s="41">
        <v>115</v>
      </c>
      <c r="BJ286" s="41"/>
      <c r="BK286" s="41">
        <v>119</v>
      </c>
      <c r="BL286" s="41"/>
      <c r="BM286" s="41"/>
      <c r="BN286" s="41">
        <v>4</v>
      </c>
      <c r="BO286" s="41"/>
      <c r="BP286" s="41"/>
      <c r="BQ286" s="41">
        <v>199</v>
      </c>
      <c r="BR286" s="41"/>
      <c r="BS286" s="41">
        <v>33</v>
      </c>
      <c r="BT286" s="41"/>
      <c r="BU286" s="41">
        <v>113</v>
      </c>
      <c r="BV286" s="41"/>
      <c r="BW286" s="41">
        <v>5</v>
      </c>
    </row>
    <row r="287" spans="1:98">
      <c r="A287" s="1" t="s">
        <v>289</v>
      </c>
      <c r="B287" s="4" t="s">
        <v>290</v>
      </c>
      <c r="C287" s="60" t="s">
        <v>528</v>
      </c>
      <c r="D287" s="63">
        <v>67.22</v>
      </c>
      <c r="E287" s="63">
        <v>2.93</v>
      </c>
      <c r="F287" s="1" t="s">
        <v>308</v>
      </c>
      <c r="G287" s="1" t="s">
        <v>236</v>
      </c>
      <c r="H287" s="1" t="s">
        <v>158</v>
      </c>
      <c r="I287" s="9">
        <v>402.3</v>
      </c>
      <c r="J287" s="38" t="s">
        <v>256</v>
      </c>
      <c r="L287" s="4" t="s">
        <v>426</v>
      </c>
      <c r="M287" s="78" t="s">
        <v>866</v>
      </c>
      <c r="N287" s="78"/>
      <c r="Q287" s="1" t="s">
        <v>312</v>
      </c>
      <c r="R287" s="4">
        <v>48.8</v>
      </c>
      <c r="S287" s="1">
        <v>1.84</v>
      </c>
      <c r="T287" s="1">
        <v>17.5</v>
      </c>
      <c r="U287" s="1">
        <v>5.68</v>
      </c>
      <c r="V287" s="1">
        <v>3.87</v>
      </c>
      <c r="W287" s="1">
        <v>0.12</v>
      </c>
      <c r="X287" s="1">
        <v>5.5</v>
      </c>
      <c r="Y287" s="1">
        <v>9.31</v>
      </c>
      <c r="Z287" s="1">
        <v>2.72</v>
      </c>
      <c r="AA287" s="1">
        <v>0.5</v>
      </c>
      <c r="AB287" s="1">
        <v>0.17</v>
      </c>
      <c r="AC287" s="9">
        <v>3.05</v>
      </c>
      <c r="AD287" s="23">
        <f t="shared" si="249"/>
        <v>99.06</v>
      </c>
      <c r="AE287" s="21">
        <f t="shared" si="250"/>
        <v>8.9763200000000012</v>
      </c>
      <c r="AF287" s="23">
        <f t="shared" si="251"/>
        <v>0.52206159789391005</v>
      </c>
      <c r="AH287" s="16">
        <f t="shared" si="252"/>
        <v>50.828038745963958</v>
      </c>
      <c r="AI287" s="16">
        <f t="shared" si="253"/>
        <v>1.916467034683887</v>
      </c>
      <c r="AJ287" s="16">
        <f t="shared" si="254"/>
        <v>18.227267992917405</v>
      </c>
      <c r="AK287" s="16">
        <f t="shared" si="255"/>
        <v>5.9160504114154771</v>
      </c>
      <c r="AL287" s="16">
        <f t="shared" si="256"/>
        <v>4.0308301218623059</v>
      </c>
      <c r="AM287" s="16">
        <f t="shared" si="257"/>
        <v>0.1249869805228622</v>
      </c>
      <c r="AN287" s="16">
        <f t="shared" si="258"/>
        <v>5.7285699406311839</v>
      </c>
      <c r="AO287" s="16">
        <f t="shared" si="259"/>
        <v>9.6969065722320593</v>
      </c>
      <c r="AP287" s="16">
        <f t="shared" si="260"/>
        <v>2.8330382251848762</v>
      </c>
      <c r="AQ287" s="16">
        <f t="shared" si="261"/>
        <v>0.52077908551192587</v>
      </c>
      <c r="AR287" s="16">
        <f t="shared" si="262"/>
        <v>0.17706488907405477</v>
      </c>
      <c r="AS287" s="16">
        <f t="shared" si="263"/>
        <v>100.00000000000003</v>
      </c>
      <c r="AT287" s="16">
        <f t="shared" si="264"/>
        <v>9.34935944172482</v>
      </c>
      <c r="AV287" s="1" t="s">
        <v>428</v>
      </c>
      <c r="AY287" s="41"/>
      <c r="AZ287" s="41"/>
      <c r="BA287" s="41">
        <v>355</v>
      </c>
      <c r="BB287" s="41"/>
      <c r="BC287" s="41">
        <v>182</v>
      </c>
      <c r="BD287" s="41"/>
      <c r="BE287" s="41">
        <v>39</v>
      </c>
      <c r="BF287" s="41"/>
      <c r="BG287" s="41">
        <v>85</v>
      </c>
      <c r="BH287" s="41"/>
      <c r="BI287" s="41">
        <v>131</v>
      </c>
      <c r="BJ287" s="41"/>
      <c r="BK287" s="41">
        <v>116</v>
      </c>
      <c r="BL287" s="41"/>
      <c r="BM287" s="41"/>
      <c r="BN287" s="41">
        <v>11</v>
      </c>
      <c r="BO287" s="41"/>
      <c r="BP287" s="41"/>
      <c r="BQ287" s="41">
        <v>176</v>
      </c>
      <c r="BR287" s="41"/>
      <c r="BS287" s="41">
        <v>24</v>
      </c>
      <c r="BT287" s="41"/>
      <c r="BU287" s="41">
        <v>108</v>
      </c>
      <c r="BV287" s="41"/>
      <c r="BW287" s="41">
        <v>7</v>
      </c>
    </row>
    <row r="288" spans="1:98">
      <c r="A288" s="1" t="s">
        <v>289</v>
      </c>
      <c r="B288" s="4" t="s">
        <v>290</v>
      </c>
      <c r="C288" s="60" t="s">
        <v>529</v>
      </c>
      <c r="D288" s="63">
        <v>67.22</v>
      </c>
      <c r="E288" s="63">
        <v>2.93</v>
      </c>
      <c r="F288" s="1" t="s">
        <v>308</v>
      </c>
      <c r="G288" s="1" t="s">
        <v>213</v>
      </c>
      <c r="H288" s="1" t="s">
        <v>158</v>
      </c>
      <c r="I288" s="9">
        <v>406.3</v>
      </c>
      <c r="J288" s="38" t="s">
        <v>256</v>
      </c>
      <c r="L288" s="4" t="s">
        <v>426</v>
      </c>
      <c r="M288" s="78" t="s">
        <v>866</v>
      </c>
      <c r="N288" s="78"/>
      <c r="Q288" s="1" t="s">
        <v>312</v>
      </c>
      <c r="R288" s="4">
        <v>48.7</v>
      </c>
      <c r="S288" s="1">
        <v>1.71</v>
      </c>
      <c r="T288" s="1">
        <v>15.22</v>
      </c>
      <c r="U288" s="1">
        <v>6.61</v>
      </c>
      <c r="V288" s="1">
        <v>4.58</v>
      </c>
      <c r="W288" s="1">
        <v>0.14000000000000001</v>
      </c>
      <c r="X288" s="1">
        <v>7.51</v>
      </c>
      <c r="Y288" s="1">
        <v>9.9600000000000009</v>
      </c>
      <c r="Z288" s="1">
        <v>2.58</v>
      </c>
      <c r="AA288" s="1">
        <v>0.26</v>
      </c>
      <c r="AB288" s="1">
        <v>0.17</v>
      </c>
      <c r="AC288" s="9">
        <v>3.18</v>
      </c>
      <c r="AD288" s="23">
        <f t="shared" si="249"/>
        <v>100.62000000000002</v>
      </c>
      <c r="AE288" s="21">
        <f t="shared" si="250"/>
        <v>10.522390000000001</v>
      </c>
      <c r="AF288" s="23">
        <f t="shared" si="251"/>
        <v>0.55992944804214184</v>
      </c>
      <c r="AH288" s="16">
        <f t="shared" si="252"/>
        <v>49.979474548440059</v>
      </c>
      <c r="AI288" s="16">
        <f t="shared" si="253"/>
        <v>1.7549261083743841</v>
      </c>
      <c r="AJ288" s="16">
        <f t="shared" si="254"/>
        <v>15.619868637110015</v>
      </c>
      <c r="AK288" s="16">
        <f t="shared" si="255"/>
        <v>6.7836617405582915</v>
      </c>
      <c r="AL288" s="16">
        <f t="shared" si="256"/>
        <v>4.7003284072249585</v>
      </c>
      <c r="AM288" s="16">
        <f t="shared" si="257"/>
        <v>0.14367816091954022</v>
      </c>
      <c r="AN288" s="16">
        <f t="shared" si="258"/>
        <v>7.707307060755336</v>
      </c>
      <c r="AO288" s="16">
        <f t="shared" si="259"/>
        <v>10.22167487684729</v>
      </c>
      <c r="AP288" s="16">
        <f t="shared" si="260"/>
        <v>2.6477832512315267</v>
      </c>
      <c r="AQ288" s="16">
        <f t="shared" si="261"/>
        <v>0.26683087027914609</v>
      </c>
      <c r="AR288" s="16">
        <f t="shared" si="262"/>
        <v>0.17446633825944169</v>
      </c>
      <c r="AS288" s="16">
        <f t="shared" si="263"/>
        <v>99.999999999999986</v>
      </c>
      <c r="AT288" s="16">
        <f t="shared" si="264"/>
        <v>10.798840311986861</v>
      </c>
      <c r="AV288" s="1" t="s">
        <v>428</v>
      </c>
      <c r="AY288" s="41"/>
      <c r="AZ288" s="41"/>
      <c r="BA288" s="41">
        <v>349</v>
      </c>
      <c r="BB288" s="41"/>
      <c r="BC288" s="41">
        <v>341</v>
      </c>
      <c r="BD288" s="41"/>
      <c r="BE288" s="41">
        <v>43</v>
      </c>
      <c r="BF288" s="41"/>
      <c r="BG288" s="41">
        <v>127</v>
      </c>
      <c r="BH288" s="41"/>
      <c r="BI288" s="41">
        <v>88</v>
      </c>
      <c r="BJ288" s="41"/>
      <c r="BK288" s="41">
        <v>100</v>
      </c>
      <c r="BL288" s="41"/>
      <c r="BM288" s="41"/>
      <c r="BN288" s="41">
        <v>4</v>
      </c>
      <c r="BO288" s="41"/>
      <c r="BP288" s="41"/>
      <c r="BQ288" s="41">
        <v>170</v>
      </c>
      <c r="BR288" s="41"/>
      <c r="BS288" s="41">
        <v>29</v>
      </c>
      <c r="BT288" s="41"/>
      <c r="BU288" s="41">
        <v>96</v>
      </c>
      <c r="BV288" s="41"/>
      <c r="BW288" s="41">
        <v>6</v>
      </c>
    </row>
    <row r="289" spans="1:98">
      <c r="A289" s="1" t="s">
        <v>289</v>
      </c>
      <c r="B289" s="4" t="s">
        <v>290</v>
      </c>
      <c r="C289" s="60" t="s">
        <v>530</v>
      </c>
      <c r="D289" s="63">
        <v>67.22</v>
      </c>
      <c r="E289" s="63">
        <v>2.93</v>
      </c>
      <c r="F289" s="1" t="s">
        <v>308</v>
      </c>
      <c r="G289" s="1" t="s">
        <v>182</v>
      </c>
      <c r="H289" s="1" t="s">
        <v>158</v>
      </c>
      <c r="I289" s="9">
        <v>409.6</v>
      </c>
      <c r="J289" s="38" t="s">
        <v>256</v>
      </c>
      <c r="L289" s="4" t="s">
        <v>426</v>
      </c>
      <c r="M289" s="78" t="s">
        <v>866</v>
      </c>
      <c r="N289" s="78"/>
      <c r="Q289" s="1" t="s">
        <v>312</v>
      </c>
      <c r="R289" s="4">
        <v>48.8</v>
      </c>
      <c r="S289" s="1">
        <v>1.46</v>
      </c>
      <c r="T289" s="1">
        <v>15.3</v>
      </c>
      <c r="U289" s="1">
        <v>4.57</v>
      </c>
      <c r="V289" s="1">
        <v>6.26</v>
      </c>
      <c r="W289" s="1">
        <v>0.2</v>
      </c>
      <c r="X289" s="1">
        <v>8.2200000000000006</v>
      </c>
      <c r="Y289" s="1">
        <v>11.46</v>
      </c>
      <c r="Z289" s="1">
        <v>2.1800000000000002</v>
      </c>
      <c r="AA289" s="1">
        <v>0.12</v>
      </c>
      <c r="AB289" s="1">
        <v>0.13</v>
      </c>
      <c r="AC289" s="9">
        <v>1.75</v>
      </c>
      <c r="AD289" s="23">
        <f t="shared" si="249"/>
        <v>100.45000000000002</v>
      </c>
      <c r="AE289" s="21">
        <f t="shared" si="250"/>
        <v>10.36843</v>
      </c>
      <c r="AF289" s="23">
        <f t="shared" si="251"/>
        <v>0.58563517681409027</v>
      </c>
      <c r="AH289" s="16">
        <f t="shared" si="252"/>
        <v>49.442755825734544</v>
      </c>
      <c r="AI289" s="16">
        <f t="shared" si="253"/>
        <v>1.4792299898682875</v>
      </c>
      <c r="AJ289" s="16">
        <f t="shared" si="254"/>
        <v>15.501519756838903</v>
      </c>
      <c r="AK289" s="16">
        <f t="shared" si="255"/>
        <v>4.6301925025329274</v>
      </c>
      <c r="AL289" s="16">
        <f t="shared" si="256"/>
        <v>6.3424518743667671</v>
      </c>
      <c r="AM289" s="16">
        <f t="shared" si="257"/>
        <v>0.20263424518743664</v>
      </c>
      <c r="AN289" s="16">
        <f t="shared" si="258"/>
        <v>8.3282674772036476</v>
      </c>
      <c r="AO289" s="16">
        <f t="shared" si="259"/>
        <v>11.61094224924012</v>
      </c>
      <c r="AP289" s="16">
        <f t="shared" si="260"/>
        <v>2.2087132725430596</v>
      </c>
      <c r="AQ289" s="16">
        <f t="shared" si="261"/>
        <v>0.12158054711246198</v>
      </c>
      <c r="AR289" s="16">
        <f t="shared" si="262"/>
        <v>0.13171225937183381</v>
      </c>
      <c r="AS289" s="16">
        <f t="shared" si="263"/>
        <v>100.00000000000001</v>
      </c>
      <c r="AT289" s="16">
        <f t="shared" si="264"/>
        <v>10.50499493414387</v>
      </c>
      <c r="AV289" s="1" t="s">
        <v>428</v>
      </c>
      <c r="AY289" s="41">
        <v>39.799999999999997</v>
      </c>
      <c r="AZ289" s="41"/>
      <c r="BA289" s="41">
        <v>312</v>
      </c>
      <c r="BB289" s="41"/>
      <c r="BC289" s="41">
        <v>379</v>
      </c>
      <c r="BD289" s="41"/>
      <c r="BE289" s="41">
        <v>49.6</v>
      </c>
      <c r="BF289" s="41"/>
      <c r="BG289" s="41">
        <v>146</v>
      </c>
      <c r="BH289" s="41"/>
      <c r="BI289" s="41">
        <v>148</v>
      </c>
      <c r="BJ289" s="41"/>
      <c r="BK289" s="41">
        <v>90</v>
      </c>
      <c r="BL289" s="41"/>
      <c r="BM289" s="41"/>
      <c r="BN289" s="41">
        <v>2</v>
      </c>
      <c r="BO289" s="41"/>
      <c r="BP289" s="41"/>
      <c r="BQ289" s="41">
        <v>198</v>
      </c>
      <c r="BR289" s="41"/>
      <c r="BS289" s="41">
        <v>26</v>
      </c>
      <c r="BT289" s="41"/>
      <c r="BU289" s="41">
        <v>82</v>
      </c>
      <c r="BV289" s="41"/>
      <c r="BW289" s="41">
        <v>5</v>
      </c>
    </row>
    <row r="290" spans="1:98">
      <c r="A290" s="1" t="s">
        <v>289</v>
      </c>
      <c r="B290" s="4" t="s">
        <v>290</v>
      </c>
      <c r="C290" s="60" t="s">
        <v>531</v>
      </c>
      <c r="D290" s="63">
        <v>67.22</v>
      </c>
      <c r="E290" s="63">
        <v>2.93</v>
      </c>
      <c r="F290" s="1" t="s">
        <v>308</v>
      </c>
      <c r="G290" s="1" t="s">
        <v>204</v>
      </c>
      <c r="H290" s="1" t="s">
        <v>158</v>
      </c>
      <c r="I290" s="9">
        <v>412.8</v>
      </c>
      <c r="J290" s="38" t="s">
        <v>256</v>
      </c>
      <c r="L290" s="4" t="s">
        <v>426</v>
      </c>
      <c r="M290" s="78" t="s">
        <v>866</v>
      </c>
      <c r="N290" s="78"/>
      <c r="Q290" s="1" t="s">
        <v>312</v>
      </c>
      <c r="R290" s="4">
        <v>48.8</v>
      </c>
      <c r="S290" s="1">
        <v>1.57</v>
      </c>
      <c r="T290" s="1">
        <v>15.11</v>
      </c>
      <c r="U290" s="1">
        <v>5.68</v>
      </c>
      <c r="V290" s="1">
        <v>5.82</v>
      </c>
      <c r="W290" s="1">
        <v>0.19</v>
      </c>
      <c r="X290" s="1">
        <v>7.81</v>
      </c>
      <c r="Y290" s="1">
        <v>10.64</v>
      </c>
      <c r="Z290" s="1">
        <v>2.4500000000000002</v>
      </c>
      <c r="AA290" s="1">
        <v>0.19</v>
      </c>
      <c r="AB290" s="1">
        <v>0.15</v>
      </c>
      <c r="AC290" s="9">
        <v>1.83</v>
      </c>
      <c r="AD290" s="23">
        <f t="shared" si="249"/>
        <v>100.24</v>
      </c>
      <c r="AE290" s="21">
        <f t="shared" si="250"/>
        <v>10.92632</v>
      </c>
      <c r="AF290" s="23">
        <f t="shared" si="251"/>
        <v>0.56029910342339895</v>
      </c>
      <c r="AH290" s="16">
        <f t="shared" si="252"/>
        <v>49.588456457677069</v>
      </c>
      <c r="AI290" s="16">
        <f t="shared" si="253"/>
        <v>1.5953663245605123</v>
      </c>
      <c r="AJ290" s="16">
        <f t="shared" si="254"/>
        <v>15.354130677776649</v>
      </c>
      <c r="AK290" s="16">
        <f t="shared" si="255"/>
        <v>5.7717711614673304</v>
      </c>
      <c r="AL290" s="16">
        <f t="shared" si="256"/>
        <v>5.9140331267147648</v>
      </c>
      <c r="AM290" s="16">
        <f t="shared" si="257"/>
        <v>0.19306980997866072</v>
      </c>
      <c r="AN290" s="16">
        <f t="shared" si="258"/>
        <v>7.93618534701758</v>
      </c>
      <c r="AO290" s="16">
        <f t="shared" si="259"/>
        <v>10.811909358805</v>
      </c>
      <c r="AP290" s="16">
        <f t="shared" si="260"/>
        <v>2.4895843918300988</v>
      </c>
      <c r="AQ290" s="16">
        <f t="shared" si="261"/>
        <v>0.19306980997866072</v>
      </c>
      <c r="AR290" s="16">
        <f t="shared" si="262"/>
        <v>0.15242353419367952</v>
      </c>
      <c r="AS290" s="16">
        <f t="shared" si="263"/>
        <v>100.00000000000001</v>
      </c>
      <c r="AT290" s="16">
        <f t="shared" si="264"/>
        <v>11.102855400873896</v>
      </c>
      <c r="AV290" s="1" t="s">
        <v>428</v>
      </c>
      <c r="AY290" s="41"/>
      <c r="AZ290" s="41"/>
      <c r="BA290" s="41">
        <v>327</v>
      </c>
      <c r="BB290" s="41"/>
      <c r="BC290" s="41">
        <v>335</v>
      </c>
      <c r="BD290" s="41"/>
      <c r="BE290" s="41">
        <v>51</v>
      </c>
      <c r="BF290" s="41"/>
      <c r="BG290" s="41">
        <v>136</v>
      </c>
      <c r="BH290" s="41"/>
      <c r="BI290" s="41">
        <v>136</v>
      </c>
      <c r="BJ290" s="41"/>
      <c r="BK290" s="41">
        <v>99</v>
      </c>
      <c r="BL290" s="41"/>
      <c r="BM290" s="41"/>
      <c r="BN290" s="41">
        <v>7</v>
      </c>
      <c r="BO290" s="41"/>
      <c r="BP290" s="41"/>
      <c r="BQ290" s="41">
        <v>244</v>
      </c>
      <c r="BR290" s="41"/>
      <c r="BS290" s="41">
        <v>24</v>
      </c>
      <c r="BT290" s="41"/>
      <c r="BU290" s="41">
        <v>87</v>
      </c>
      <c r="BV290" s="41"/>
      <c r="BW290" s="41">
        <v>5</v>
      </c>
    </row>
    <row r="291" spans="1:98">
      <c r="A291" s="1" t="s">
        <v>289</v>
      </c>
      <c r="B291" s="4" t="s">
        <v>290</v>
      </c>
      <c r="C291" s="60" t="s">
        <v>532</v>
      </c>
      <c r="D291" s="63">
        <v>67.22</v>
      </c>
      <c r="E291" s="63">
        <v>2.93</v>
      </c>
      <c r="F291" s="1" t="s">
        <v>308</v>
      </c>
      <c r="G291" s="1" t="s">
        <v>222</v>
      </c>
      <c r="H291" s="1" t="s">
        <v>158</v>
      </c>
      <c r="I291" s="9">
        <v>412.2</v>
      </c>
      <c r="J291" s="38" t="s">
        <v>256</v>
      </c>
      <c r="L291" s="4" t="s">
        <v>426</v>
      </c>
      <c r="M291" s="78" t="s">
        <v>866</v>
      </c>
      <c r="N291" s="78"/>
      <c r="Q291" s="1" t="s">
        <v>312</v>
      </c>
      <c r="R291" s="4">
        <v>47.4</v>
      </c>
      <c r="S291" s="1">
        <v>1.71</v>
      </c>
      <c r="T291" s="1">
        <v>14.97</v>
      </c>
      <c r="U291" s="1">
        <v>10.34</v>
      </c>
      <c r="V291" s="1">
        <v>3.75</v>
      </c>
      <c r="W291" s="1">
        <v>0.14000000000000001</v>
      </c>
      <c r="X291" s="1">
        <v>6.88</v>
      </c>
      <c r="Y291" s="1">
        <v>9.44</v>
      </c>
      <c r="Z291" s="1">
        <v>2.59</v>
      </c>
      <c r="AA291" s="1">
        <v>0.57999999999999996</v>
      </c>
      <c r="AB291" s="1">
        <v>0.24</v>
      </c>
      <c r="AC291" s="9">
        <v>2.31</v>
      </c>
      <c r="AD291" s="23">
        <f t="shared" si="249"/>
        <v>100.35</v>
      </c>
      <c r="AE291" s="21">
        <f t="shared" si="250"/>
        <v>13.04566</v>
      </c>
      <c r="AF291" s="23">
        <f t="shared" si="251"/>
        <v>0.48458208282127729</v>
      </c>
      <c r="AH291" s="16">
        <f t="shared" si="252"/>
        <v>48.347613219094249</v>
      </c>
      <c r="AI291" s="16">
        <f t="shared" si="253"/>
        <v>1.7441860465116281</v>
      </c>
      <c r="AJ291" s="16">
        <f t="shared" si="254"/>
        <v>15.269277845777236</v>
      </c>
      <c r="AK291" s="16">
        <f t="shared" si="255"/>
        <v>10.54671562627499</v>
      </c>
      <c r="AL291" s="16">
        <f t="shared" si="256"/>
        <v>3.8249694002447985</v>
      </c>
      <c r="AM291" s="16">
        <f t="shared" si="257"/>
        <v>0.14279885760913916</v>
      </c>
      <c r="AN291" s="16">
        <f t="shared" si="258"/>
        <v>7.0175438596491233</v>
      </c>
      <c r="AO291" s="16">
        <f t="shared" si="259"/>
        <v>9.6287229702162396</v>
      </c>
      <c r="AP291" s="16">
        <f t="shared" si="260"/>
        <v>2.6417788657690742</v>
      </c>
      <c r="AQ291" s="16">
        <f t="shared" si="261"/>
        <v>0.59159526723786204</v>
      </c>
      <c r="AR291" s="16">
        <f t="shared" si="262"/>
        <v>0.24479804161566709</v>
      </c>
      <c r="AS291" s="16">
        <f t="shared" si="263"/>
        <v>100</v>
      </c>
      <c r="AT291" s="16">
        <f t="shared" si="264"/>
        <v>13.306466748266015</v>
      </c>
      <c r="AV291" s="1" t="s">
        <v>428</v>
      </c>
      <c r="AY291" s="41"/>
      <c r="AZ291" s="41"/>
      <c r="BA291" s="41">
        <v>347</v>
      </c>
      <c r="BB291" s="41"/>
      <c r="BC291" s="41">
        <v>316</v>
      </c>
      <c r="BD291" s="41"/>
      <c r="BE291" s="41">
        <v>52</v>
      </c>
      <c r="BF291" s="41"/>
      <c r="BG291" s="41">
        <v>137</v>
      </c>
      <c r="BH291" s="41"/>
      <c r="BI291" s="41">
        <v>246</v>
      </c>
      <c r="BJ291" s="41"/>
      <c r="BK291" s="41">
        <v>90</v>
      </c>
      <c r="BL291" s="41"/>
      <c r="BM291" s="41"/>
      <c r="BN291" s="41">
        <v>13</v>
      </c>
      <c r="BO291" s="41"/>
      <c r="BP291" s="41"/>
      <c r="BQ291" s="41">
        <v>222</v>
      </c>
      <c r="BR291" s="41"/>
      <c r="BS291" s="41">
        <v>41</v>
      </c>
      <c r="BT291" s="41"/>
      <c r="BU291" s="41">
        <v>94</v>
      </c>
      <c r="BV291" s="41"/>
      <c r="BW291" s="41">
        <v>6</v>
      </c>
    </row>
    <row r="292" spans="1:98">
      <c r="A292" s="1" t="s">
        <v>289</v>
      </c>
      <c r="B292" s="4" t="s">
        <v>290</v>
      </c>
      <c r="C292" s="40" t="s">
        <v>663</v>
      </c>
      <c r="D292" s="63">
        <v>67.22</v>
      </c>
      <c r="E292" s="63">
        <v>2.93</v>
      </c>
      <c r="F292" s="1" t="s">
        <v>308</v>
      </c>
      <c r="G292" s="4"/>
      <c r="H292" s="4"/>
      <c r="J292" s="38" t="s">
        <v>256</v>
      </c>
      <c r="K292" s="40"/>
      <c r="L292" s="4" t="s">
        <v>423</v>
      </c>
      <c r="M292" s="78" t="s">
        <v>867</v>
      </c>
      <c r="N292" s="78"/>
      <c r="O292" s="4"/>
      <c r="P292" s="4"/>
      <c r="Q292" s="4"/>
      <c r="AD292" s="23"/>
      <c r="AE292" s="23"/>
      <c r="AF292" s="23"/>
      <c r="AG292" s="45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45"/>
      <c r="AV292" s="4"/>
      <c r="AY292" s="39">
        <v>33.28</v>
      </c>
      <c r="BR292" s="39">
        <v>24.71</v>
      </c>
      <c r="BS292" s="39"/>
      <c r="BT292" s="39">
        <v>75.45</v>
      </c>
      <c r="BV292" s="39">
        <v>5.3</v>
      </c>
      <c r="BW292" s="39"/>
      <c r="CA292" s="39">
        <v>27</v>
      </c>
      <c r="CB292" s="39">
        <v>4.75</v>
      </c>
      <c r="CC292" s="39">
        <v>12.37</v>
      </c>
      <c r="CD292" s="39">
        <v>1.95</v>
      </c>
      <c r="CE292" s="39">
        <v>9.9700000000000006</v>
      </c>
      <c r="CF292" s="39">
        <v>3.08</v>
      </c>
      <c r="CG292" s="39">
        <v>1.17</v>
      </c>
      <c r="CH292" s="39">
        <v>3.77</v>
      </c>
      <c r="CI292" s="39">
        <v>0.67</v>
      </c>
      <c r="CJ292" s="39">
        <v>4.25</v>
      </c>
      <c r="CK292" s="39">
        <v>0.89</v>
      </c>
      <c r="CL292" s="39">
        <v>2.4900000000000002</v>
      </c>
      <c r="CM292" s="39">
        <v>0.38</v>
      </c>
      <c r="CN292" s="39">
        <v>2.2599999999999998</v>
      </c>
      <c r="CO292" s="39">
        <v>0.34</v>
      </c>
      <c r="CP292" s="39">
        <v>2.04</v>
      </c>
      <c r="CQ292" s="39">
        <v>0.3</v>
      </c>
      <c r="CR292" s="39"/>
      <c r="CS292" s="39">
        <v>0.31</v>
      </c>
      <c r="CT292" s="39">
        <v>7.0000000000000007E-2</v>
      </c>
    </row>
    <row r="293" spans="1:98">
      <c r="A293" s="1" t="s">
        <v>289</v>
      </c>
      <c r="B293" s="4" t="s">
        <v>290</v>
      </c>
      <c r="C293" s="1" t="s">
        <v>533</v>
      </c>
      <c r="D293" s="63">
        <v>67.22</v>
      </c>
      <c r="E293" s="63">
        <v>2.93</v>
      </c>
      <c r="F293" s="1" t="s">
        <v>308</v>
      </c>
      <c r="G293" s="1" t="s">
        <v>157</v>
      </c>
      <c r="H293" s="1" t="s">
        <v>158</v>
      </c>
      <c r="I293" s="9">
        <v>416.1</v>
      </c>
      <c r="J293" s="38" t="s">
        <v>256</v>
      </c>
      <c r="L293" s="4" t="s">
        <v>426</v>
      </c>
      <c r="M293" s="78" t="s">
        <v>866</v>
      </c>
      <c r="N293" s="78"/>
      <c r="Q293" s="1" t="s">
        <v>312</v>
      </c>
      <c r="R293" s="4">
        <v>48.1</v>
      </c>
      <c r="S293" s="1">
        <v>1.58</v>
      </c>
      <c r="T293" s="1">
        <v>14.9</v>
      </c>
      <c r="U293" s="1">
        <v>5.04</v>
      </c>
      <c r="V293" s="1">
        <v>6.16</v>
      </c>
      <c r="W293" s="1">
        <v>0.16</v>
      </c>
      <c r="X293" s="1">
        <v>8.1</v>
      </c>
      <c r="Y293" s="1">
        <v>10.71</v>
      </c>
      <c r="Z293" s="1">
        <v>2.29</v>
      </c>
      <c r="AA293" s="1">
        <v>0.09</v>
      </c>
      <c r="AB293" s="1">
        <v>0.15</v>
      </c>
      <c r="AC293" s="9">
        <v>1.8</v>
      </c>
      <c r="AD293" s="23">
        <f>SUM(R293:AB293)+AC293</f>
        <v>99.080000000000013</v>
      </c>
      <c r="AE293" s="21">
        <f>V293+0.899*U293</f>
        <v>10.69096</v>
      </c>
      <c r="AF293" s="23">
        <f>(X293/40.3)/((X293/40.3)+(AE293/71.844))</f>
        <v>0.5745919155710818</v>
      </c>
      <c r="AH293" s="16">
        <f t="shared" ref="AH293:AR294" si="265">100*R293/SUM($R293:$AB293)</f>
        <v>49.444901315789465</v>
      </c>
      <c r="AI293" s="16">
        <f t="shared" si="265"/>
        <v>1.6241776315789471</v>
      </c>
      <c r="AJ293" s="16">
        <f t="shared" si="265"/>
        <v>15.31661184210526</v>
      </c>
      <c r="AK293" s="16">
        <f t="shared" si="265"/>
        <v>5.1809210526315779</v>
      </c>
      <c r="AL293" s="16">
        <f t="shared" si="265"/>
        <v>6.3322368421052619</v>
      </c>
      <c r="AM293" s="16">
        <f t="shared" si="265"/>
        <v>0.1644736842105263</v>
      </c>
      <c r="AN293" s="16">
        <f t="shared" si="265"/>
        <v>8.3264802631578938</v>
      </c>
      <c r="AO293" s="16">
        <f t="shared" si="265"/>
        <v>11.009457236842103</v>
      </c>
      <c r="AP293" s="16">
        <f t="shared" si="265"/>
        <v>2.3540296052631575</v>
      </c>
      <c r="AQ293" s="16">
        <f t="shared" si="265"/>
        <v>9.2516447368421031E-2</v>
      </c>
      <c r="AR293" s="16">
        <f t="shared" si="265"/>
        <v>0.15419407894736839</v>
      </c>
      <c r="AS293" s="16">
        <f>SUM(AH293:AR293)</f>
        <v>99.999999999999957</v>
      </c>
      <c r="AT293" s="16">
        <f>AL293+0.899*AK293</f>
        <v>10.989884868421051</v>
      </c>
      <c r="AV293" s="1" t="s">
        <v>428</v>
      </c>
      <c r="AY293" s="41">
        <v>40.6</v>
      </c>
      <c r="AZ293" s="41"/>
      <c r="BA293" s="41">
        <v>331</v>
      </c>
      <c r="BB293" s="41"/>
      <c r="BC293" s="41">
        <v>325</v>
      </c>
      <c r="BD293" s="41"/>
      <c r="BE293" s="41">
        <v>48.9</v>
      </c>
      <c r="BF293" s="41"/>
      <c r="BG293" s="41">
        <v>144</v>
      </c>
      <c r="BH293" s="41"/>
      <c r="BI293" s="41">
        <v>110</v>
      </c>
      <c r="BJ293" s="41"/>
      <c r="BK293" s="41">
        <v>92</v>
      </c>
      <c r="BL293" s="41"/>
      <c r="BM293" s="41"/>
      <c r="BN293" s="41">
        <v>2</v>
      </c>
      <c r="BO293" s="41"/>
      <c r="BP293" s="41"/>
      <c r="BQ293" s="41">
        <v>229</v>
      </c>
      <c r="BR293" s="41"/>
      <c r="BS293" s="41">
        <v>26</v>
      </c>
      <c r="BT293" s="41"/>
      <c r="BU293" s="41">
        <v>93</v>
      </c>
      <c r="BV293" s="41"/>
      <c r="BW293" s="41">
        <v>8</v>
      </c>
      <c r="CB293" s="9">
        <v>7.2</v>
      </c>
      <c r="CC293" s="9">
        <v>20</v>
      </c>
      <c r="CE293" s="9">
        <v>15.2</v>
      </c>
      <c r="CF293" s="9">
        <v>4.7300000000000004</v>
      </c>
      <c r="CG293" s="9">
        <v>1.72</v>
      </c>
      <c r="CI293" s="9">
        <v>0.95</v>
      </c>
      <c r="CN293" s="9">
        <v>2.81</v>
      </c>
      <c r="CO293" s="9">
        <v>0.41</v>
      </c>
      <c r="CP293" s="9">
        <v>3.24</v>
      </c>
      <c r="CQ293" s="9">
        <v>0.52</v>
      </c>
      <c r="CS293" s="9">
        <v>0.65</v>
      </c>
      <c r="CT293" s="9">
        <v>0.12</v>
      </c>
    </row>
    <row r="294" spans="1:98">
      <c r="A294" s="1" t="s">
        <v>289</v>
      </c>
      <c r="B294" s="4" t="s">
        <v>290</v>
      </c>
      <c r="C294" s="1" t="s">
        <v>534</v>
      </c>
      <c r="D294" s="63">
        <v>67.22</v>
      </c>
      <c r="E294" s="63">
        <v>2.93</v>
      </c>
      <c r="F294" s="1" t="s">
        <v>308</v>
      </c>
      <c r="G294" s="1" t="s">
        <v>152</v>
      </c>
      <c r="H294" s="1" t="s">
        <v>147</v>
      </c>
      <c r="I294" s="9">
        <v>418.5</v>
      </c>
      <c r="J294" s="38" t="s">
        <v>256</v>
      </c>
      <c r="L294" s="4" t="s">
        <v>426</v>
      </c>
      <c r="M294" s="78" t="s">
        <v>866</v>
      </c>
      <c r="N294" s="78"/>
      <c r="Q294" s="1" t="s">
        <v>312</v>
      </c>
      <c r="R294" s="4">
        <v>45.9</v>
      </c>
      <c r="S294" s="1">
        <v>1.38</v>
      </c>
      <c r="T294" s="1">
        <v>14.43</v>
      </c>
      <c r="U294" s="1">
        <v>3.72</v>
      </c>
      <c r="V294" s="1">
        <v>6.18</v>
      </c>
      <c r="W294" s="1">
        <v>0.37</v>
      </c>
      <c r="X294" s="1">
        <v>7.94</v>
      </c>
      <c r="Y294" s="1">
        <v>13.45</v>
      </c>
      <c r="Z294" s="1">
        <v>1.88</v>
      </c>
      <c r="AA294" s="1">
        <v>7.0000000000000007E-2</v>
      </c>
      <c r="AB294" s="1">
        <v>0.12</v>
      </c>
      <c r="AC294" s="9">
        <v>3.7</v>
      </c>
      <c r="AD294" s="23">
        <f>SUM(R294:AB294)+AC294</f>
        <v>99.140000000000015</v>
      </c>
      <c r="AE294" s="21">
        <f>V294+0.899*U294</f>
        <v>9.524280000000001</v>
      </c>
      <c r="AF294" s="23">
        <f>(X294/40.3)/((X294/40.3)+(AE294/71.844))</f>
        <v>0.59777783358309711</v>
      </c>
      <c r="AH294" s="16">
        <f t="shared" si="265"/>
        <v>48.093042749371328</v>
      </c>
      <c r="AI294" s="16">
        <f t="shared" si="265"/>
        <v>1.4459346186085498</v>
      </c>
      <c r="AJ294" s="16">
        <f t="shared" si="265"/>
        <v>15.119446772841574</v>
      </c>
      <c r="AK294" s="16">
        <f t="shared" si="265"/>
        <v>3.8977367979882644</v>
      </c>
      <c r="AL294" s="16">
        <f t="shared" si="265"/>
        <v>6.475272422464375</v>
      </c>
      <c r="AM294" s="16">
        <f t="shared" si="265"/>
        <v>0.38767812238055316</v>
      </c>
      <c r="AN294" s="16">
        <f t="shared" si="265"/>
        <v>8.3193629505448445</v>
      </c>
      <c r="AO294" s="16">
        <f t="shared" si="265"/>
        <v>14.092623637887677</v>
      </c>
      <c r="AP294" s="16">
        <f t="shared" si="265"/>
        <v>1.9698239731768648</v>
      </c>
      <c r="AQ294" s="16">
        <f t="shared" si="265"/>
        <v>7.3344509639564126E-2</v>
      </c>
      <c r="AR294" s="16">
        <f t="shared" si="265"/>
        <v>0.12573344509639561</v>
      </c>
      <c r="AS294" s="16">
        <f>SUM(AH294:AR294)</f>
        <v>99.999999999999972</v>
      </c>
      <c r="AT294" s="16">
        <f>AL294+0.899*AK294</f>
        <v>9.9793378038558238</v>
      </c>
      <c r="AV294" s="1" t="s">
        <v>428</v>
      </c>
      <c r="AY294" s="41"/>
      <c r="AZ294" s="41"/>
      <c r="BA294" s="41">
        <v>288</v>
      </c>
      <c r="BB294" s="41"/>
      <c r="BC294" s="41">
        <v>306</v>
      </c>
      <c r="BD294" s="41"/>
      <c r="BE294" s="41">
        <v>40</v>
      </c>
      <c r="BF294" s="41"/>
      <c r="BG294" s="41">
        <v>127</v>
      </c>
      <c r="BH294" s="41"/>
      <c r="BI294" s="41">
        <v>136</v>
      </c>
      <c r="BJ294" s="41"/>
      <c r="BK294" s="41">
        <v>84</v>
      </c>
      <c r="BL294" s="41"/>
      <c r="BM294" s="41"/>
      <c r="BN294" s="41">
        <v>5</v>
      </c>
      <c r="BO294" s="41"/>
      <c r="BP294" s="41"/>
      <c r="BQ294" s="41">
        <v>220</v>
      </c>
      <c r="BR294" s="41"/>
      <c r="BS294" s="41">
        <v>24</v>
      </c>
      <c r="BT294" s="41"/>
      <c r="BU294" s="41">
        <v>79</v>
      </c>
      <c r="BV294" s="41"/>
      <c r="BW294" s="41">
        <v>6</v>
      </c>
    </row>
    <row r="295" spans="1:98">
      <c r="A295" s="1" t="s">
        <v>289</v>
      </c>
      <c r="B295" s="4" t="s">
        <v>290</v>
      </c>
      <c r="C295" s="40" t="s">
        <v>664</v>
      </c>
      <c r="D295" s="63">
        <v>67.22</v>
      </c>
      <c r="E295" s="63">
        <v>2.93</v>
      </c>
      <c r="F295" s="1" t="s">
        <v>308</v>
      </c>
      <c r="G295" s="4"/>
      <c r="H295" s="4"/>
      <c r="J295" s="38" t="s">
        <v>256</v>
      </c>
      <c r="K295" s="40"/>
      <c r="L295" s="4" t="s">
        <v>423</v>
      </c>
      <c r="M295" s="78" t="s">
        <v>867</v>
      </c>
      <c r="N295" s="78"/>
      <c r="O295" s="4"/>
      <c r="P295" s="4"/>
      <c r="Q295" s="4"/>
      <c r="AD295" s="23"/>
      <c r="AE295" s="23"/>
      <c r="AF295" s="23"/>
      <c r="AG295" s="45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45"/>
      <c r="AV295" s="4"/>
      <c r="AY295" s="39">
        <v>34.51</v>
      </c>
      <c r="BR295" s="39">
        <v>26.07</v>
      </c>
      <c r="BS295" s="39"/>
      <c r="BT295" s="39">
        <v>85.4</v>
      </c>
      <c r="BV295" s="39">
        <v>6.14</v>
      </c>
      <c r="BW295" s="39"/>
      <c r="CA295" s="39">
        <v>48.18</v>
      </c>
      <c r="CB295" s="39">
        <v>4.37</v>
      </c>
      <c r="CC295" s="39">
        <v>13.46</v>
      </c>
      <c r="CD295" s="39">
        <v>2.04</v>
      </c>
      <c r="CE295" s="39">
        <v>10.77</v>
      </c>
      <c r="CF295" s="39">
        <v>3.34</v>
      </c>
      <c r="CG295" s="39">
        <v>1.23</v>
      </c>
      <c r="CH295" s="39">
        <v>4.05</v>
      </c>
      <c r="CI295" s="39">
        <v>0.73</v>
      </c>
      <c r="CJ295" s="39">
        <v>4.53</v>
      </c>
      <c r="CK295" s="39">
        <v>0.93</v>
      </c>
      <c r="CL295" s="39">
        <v>2.61</v>
      </c>
      <c r="CM295" s="39">
        <v>0.4</v>
      </c>
      <c r="CN295" s="39">
        <v>2.36</v>
      </c>
      <c r="CO295" s="39">
        <v>0.36</v>
      </c>
      <c r="CP295" s="39">
        <v>2.2799999999999998</v>
      </c>
      <c r="CQ295" s="39">
        <v>0.34</v>
      </c>
      <c r="CR295" s="39">
        <v>0.08</v>
      </c>
      <c r="CS295" s="39">
        <v>0.36</v>
      </c>
      <c r="CT295" s="39">
        <v>0.08</v>
      </c>
    </row>
    <row r="296" spans="1:98">
      <c r="A296" s="1" t="s">
        <v>289</v>
      </c>
      <c r="B296" s="4" t="s">
        <v>290</v>
      </c>
      <c r="C296" s="1" t="s">
        <v>535</v>
      </c>
      <c r="D296" s="63">
        <v>67.22</v>
      </c>
      <c r="E296" s="63">
        <v>2.93</v>
      </c>
      <c r="F296" s="1" t="s">
        <v>308</v>
      </c>
      <c r="G296" s="1" t="s">
        <v>216</v>
      </c>
      <c r="H296" s="1" t="s">
        <v>147</v>
      </c>
      <c r="I296" s="9">
        <v>434.1</v>
      </c>
      <c r="J296" s="38" t="s">
        <v>256</v>
      </c>
      <c r="L296" s="4" t="s">
        <v>426</v>
      </c>
      <c r="M296" s="78" t="s">
        <v>866</v>
      </c>
      <c r="N296" s="78"/>
      <c r="Q296" s="1" t="s">
        <v>312</v>
      </c>
      <c r="R296" s="4">
        <v>48.6</v>
      </c>
      <c r="S296" s="1">
        <v>1.38</v>
      </c>
      <c r="T296" s="1">
        <v>14.68</v>
      </c>
      <c r="U296" s="1">
        <v>3.58</v>
      </c>
      <c r="V296" s="1">
        <v>7.26</v>
      </c>
      <c r="W296" s="1">
        <v>0.18</v>
      </c>
      <c r="X296" s="1">
        <v>8.74</v>
      </c>
      <c r="Y296" s="1">
        <v>11.87</v>
      </c>
      <c r="Z296" s="1">
        <v>1.99</v>
      </c>
      <c r="AA296" s="1">
        <v>0.22</v>
      </c>
      <c r="AB296" s="1">
        <v>0.12</v>
      </c>
      <c r="AC296" s="9">
        <v>1.81</v>
      </c>
      <c r="AD296" s="23">
        <f t="shared" ref="AD296:AD304" si="266">SUM(R296:AB296)+AC296</f>
        <v>100.43</v>
      </c>
      <c r="AE296" s="21">
        <f t="shared" ref="AE296:AE304" si="267">V296+0.899*U296</f>
        <v>10.47842</v>
      </c>
      <c r="AF296" s="23">
        <f t="shared" ref="AF296:AF304" si="268">(X296/40.3)/((X296/40.3)+(AE296/71.844))</f>
        <v>0.5979036582289009</v>
      </c>
      <c r="AH296" s="16">
        <f t="shared" ref="AH296:AH304" si="269">100*R296/SUM($R296:$AB296)</f>
        <v>49.280064895558709</v>
      </c>
      <c r="AI296" s="16">
        <f t="shared" ref="AI296:AI304" si="270">100*S296/SUM($R296:$AB296)</f>
        <v>1.3993104846887041</v>
      </c>
      <c r="AJ296" s="16">
        <f t="shared" ref="AJ296:AJ304" si="271">100*T296/SUM($R296:$AB296)</f>
        <v>14.885418779152301</v>
      </c>
      <c r="AK296" s="16">
        <f t="shared" ref="AK296:AK304" si="272">100*U296/SUM($R296:$AB296)</f>
        <v>3.6300953153518556</v>
      </c>
      <c r="AL296" s="16">
        <f t="shared" ref="AL296:AL304" si="273">100*V296/SUM($R296:$AB296)</f>
        <v>7.3615899411883996</v>
      </c>
      <c r="AM296" s="16">
        <f t="shared" ref="AM296:AM304" si="274">100*W296/SUM($R296:$AB296)</f>
        <v>0.18251875887243965</v>
      </c>
      <c r="AN296" s="16">
        <f t="shared" ref="AN296:AN304" si="275">100*X296/SUM($R296:$AB296)</f>
        <v>8.862299736361793</v>
      </c>
      <c r="AO296" s="16">
        <f t="shared" ref="AO296:AO304" si="276">100*Y296/SUM($R296:$AB296)</f>
        <v>12.036098154532549</v>
      </c>
      <c r="AP296" s="16">
        <f t="shared" ref="AP296:AP304" si="277">100*Z296/SUM($R296:$AB296)</f>
        <v>2.0178462786453051</v>
      </c>
      <c r="AQ296" s="16">
        <f t="shared" ref="AQ296:AQ304" si="278">100*AA296/SUM($R296:$AB296)</f>
        <v>0.22307848306631514</v>
      </c>
      <c r="AR296" s="16">
        <f t="shared" ref="AR296:AR304" si="279">100*AB296/SUM($R296:$AB296)</f>
        <v>0.12167917258162644</v>
      </c>
      <c r="AS296" s="16">
        <f t="shared" ref="AS296:AS304" si="280">SUM(AH296:AR296)</f>
        <v>99.999999999999986</v>
      </c>
      <c r="AT296" s="16">
        <f t="shared" ref="AT296:AT304" si="281">AL296+0.899*AK296</f>
        <v>10.625045629689717</v>
      </c>
      <c r="AV296" s="1" t="s">
        <v>428</v>
      </c>
      <c r="AY296" s="41">
        <v>41</v>
      </c>
      <c r="AZ296" s="41"/>
      <c r="BA296" s="41">
        <v>282</v>
      </c>
      <c r="BB296" s="41"/>
      <c r="BC296" s="41">
        <v>331</v>
      </c>
      <c r="BD296" s="41"/>
      <c r="BE296" s="41">
        <v>50.9</v>
      </c>
      <c r="BF296" s="41"/>
      <c r="BG296" s="41">
        <v>132</v>
      </c>
      <c r="BH296" s="41"/>
      <c r="BI296" s="41">
        <v>98</v>
      </c>
      <c r="BJ296" s="41"/>
      <c r="BK296" s="41">
        <v>77</v>
      </c>
      <c r="BL296" s="41"/>
      <c r="BM296" s="41"/>
      <c r="BN296" s="41">
        <v>5</v>
      </c>
      <c r="BO296" s="41"/>
      <c r="BP296" s="41"/>
      <c r="BQ296" s="41">
        <v>250</v>
      </c>
      <c r="BR296" s="41"/>
      <c r="BS296" s="41">
        <v>22</v>
      </c>
      <c r="BT296" s="41"/>
      <c r="BU296" s="41">
        <v>77</v>
      </c>
      <c r="BV296" s="41"/>
      <c r="BW296" s="41">
        <v>6</v>
      </c>
    </row>
    <row r="297" spans="1:98">
      <c r="A297" s="1" t="s">
        <v>289</v>
      </c>
      <c r="B297" s="4" t="s">
        <v>290</v>
      </c>
      <c r="C297" s="1" t="s">
        <v>536</v>
      </c>
      <c r="D297" s="63">
        <v>67.22</v>
      </c>
      <c r="E297" s="63">
        <v>2.93</v>
      </c>
      <c r="F297" s="1" t="s">
        <v>308</v>
      </c>
      <c r="G297" s="1" t="s">
        <v>191</v>
      </c>
      <c r="H297" s="1" t="s">
        <v>147</v>
      </c>
      <c r="I297" s="9">
        <v>443</v>
      </c>
      <c r="J297" s="38" t="s">
        <v>256</v>
      </c>
      <c r="L297" s="4" t="s">
        <v>426</v>
      </c>
      <c r="M297" s="78" t="s">
        <v>866</v>
      </c>
      <c r="N297" s="78"/>
      <c r="Q297" s="1" t="s">
        <v>312</v>
      </c>
      <c r="R297" s="4">
        <v>48.7</v>
      </c>
      <c r="S297" s="1">
        <v>1.35</v>
      </c>
      <c r="T297" s="1">
        <v>14.87</v>
      </c>
      <c r="U297" s="1">
        <v>4.58</v>
      </c>
      <c r="V297" s="1">
        <v>6.24</v>
      </c>
      <c r="W297" s="1">
        <v>0.17</v>
      </c>
      <c r="X297" s="1">
        <v>8.36</v>
      </c>
      <c r="Y297" s="1">
        <v>12.35</v>
      </c>
      <c r="Z297" s="1">
        <v>2.04</v>
      </c>
      <c r="AA297" s="1">
        <v>0.11</v>
      </c>
      <c r="AB297" s="1">
        <v>0.11</v>
      </c>
      <c r="AC297" s="9">
        <v>1.65</v>
      </c>
      <c r="AD297" s="23">
        <f t="shared" si="266"/>
        <v>100.53</v>
      </c>
      <c r="AE297" s="21">
        <f t="shared" si="267"/>
        <v>10.357420000000001</v>
      </c>
      <c r="AF297" s="23">
        <f t="shared" si="268"/>
        <v>0.58998440016690201</v>
      </c>
      <c r="AH297" s="16">
        <f t="shared" si="269"/>
        <v>49.251618122977348</v>
      </c>
      <c r="AI297" s="16">
        <f t="shared" si="270"/>
        <v>1.3652912621359223</v>
      </c>
      <c r="AJ297" s="16">
        <f t="shared" si="271"/>
        <v>15.038430420711975</v>
      </c>
      <c r="AK297" s="16">
        <f t="shared" si="272"/>
        <v>4.6318770226537218</v>
      </c>
      <c r="AL297" s="16">
        <f t="shared" si="273"/>
        <v>6.3106796116504853</v>
      </c>
      <c r="AM297" s="16">
        <f t="shared" si="274"/>
        <v>0.17192556634304207</v>
      </c>
      <c r="AN297" s="16">
        <f t="shared" si="275"/>
        <v>8.4546925566343045</v>
      </c>
      <c r="AO297" s="16">
        <f t="shared" si="276"/>
        <v>12.489886731391586</v>
      </c>
      <c r="AP297" s="16">
        <f t="shared" si="277"/>
        <v>2.063106796116505</v>
      </c>
      <c r="AQ297" s="16">
        <f t="shared" si="278"/>
        <v>0.11124595469255665</v>
      </c>
      <c r="AR297" s="16">
        <f t="shared" si="279"/>
        <v>0.11124595469255665</v>
      </c>
      <c r="AS297" s="16">
        <f t="shared" si="280"/>
        <v>100</v>
      </c>
      <c r="AT297" s="16">
        <f t="shared" si="281"/>
        <v>10.474737055016181</v>
      </c>
      <c r="AV297" s="1" t="s">
        <v>428</v>
      </c>
      <c r="AY297" s="41">
        <v>41.5</v>
      </c>
      <c r="AZ297" s="41"/>
      <c r="BA297" s="41">
        <v>308</v>
      </c>
      <c r="BB297" s="41"/>
      <c r="BC297" s="41">
        <v>317</v>
      </c>
      <c r="BD297" s="41"/>
      <c r="BE297" s="41">
        <v>48.6</v>
      </c>
      <c r="BF297" s="41"/>
      <c r="BG297" s="41">
        <v>109</v>
      </c>
      <c r="BH297" s="41"/>
      <c r="BI297" s="41">
        <v>89</v>
      </c>
      <c r="BJ297" s="41"/>
      <c r="BK297" s="41">
        <v>79</v>
      </c>
      <c r="BL297" s="41"/>
      <c r="BM297" s="41"/>
      <c r="BN297" s="41">
        <v>5</v>
      </c>
      <c r="BO297" s="41"/>
      <c r="BP297" s="41"/>
      <c r="BQ297" s="41">
        <v>199</v>
      </c>
      <c r="BR297" s="41"/>
      <c r="BS297" s="41">
        <v>21</v>
      </c>
      <c r="BT297" s="41"/>
      <c r="BU297" s="41">
        <v>74</v>
      </c>
      <c r="BV297" s="41"/>
      <c r="BW297" s="41">
        <v>6</v>
      </c>
    </row>
    <row r="298" spans="1:98">
      <c r="A298" s="1" t="s">
        <v>289</v>
      </c>
      <c r="B298" s="4" t="s">
        <v>290</v>
      </c>
      <c r="C298" s="1" t="s">
        <v>537</v>
      </c>
      <c r="D298" s="63">
        <v>67.22</v>
      </c>
      <c r="E298" s="63">
        <v>2.93</v>
      </c>
      <c r="F298" s="1" t="s">
        <v>308</v>
      </c>
      <c r="G298" s="1" t="s">
        <v>197</v>
      </c>
      <c r="H298" s="1" t="s">
        <v>147</v>
      </c>
      <c r="I298" s="9">
        <v>456.9</v>
      </c>
      <c r="J298" s="38" t="s">
        <v>256</v>
      </c>
      <c r="L298" s="4" t="s">
        <v>426</v>
      </c>
      <c r="M298" s="78" t="s">
        <v>866</v>
      </c>
      <c r="N298" s="78"/>
      <c r="Q298" s="1" t="s">
        <v>312</v>
      </c>
      <c r="R298" s="4">
        <v>48.6</v>
      </c>
      <c r="S298" s="1">
        <v>1.48</v>
      </c>
      <c r="T298" s="1">
        <v>16.09</v>
      </c>
      <c r="U298" s="1">
        <v>5.25</v>
      </c>
      <c r="V298" s="1">
        <v>5.0999999999999996</v>
      </c>
      <c r="W298" s="1">
        <v>0.19</v>
      </c>
      <c r="X298" s="1">
        <v>8.2799999999999994</v>
      </c>
      <c r="Y298" s="1">
        <v>10.51</v>
      </c>
      <c r="Z298" s="1">
        <v>2.35</v>
      </c>
      <c r="AA298" s="1">
        <v>0.14000000000000001</v>
      </c>
      <c r="AB298" s="1">
        <v>0.13</v>
      </c>
      <c r="AC298" s="9">
        <v>2.04</v>
      </c>
      <c r="AD298" s="23">
        <f t="shared" si="266"/>
        <v>100.16</v>
      </c>
      <c r="AE298" s="21">
        <f t="shared" si="267"/>
        <v>9.8197499999999991</v>
      </c>
      <c r="AF298" s="23">
        <f t="shared" si="268"/>
        <v>0.60051057019243848</v>
      </c>
      <c r="AH298" s="16">
        <f t="shared" si="269"/>
        <v>49.531186302486759</v>
      </c>
      <c r="AI298" s="16">
        <f t="shared" si="270"/>
        <v>1.5083571137382799</v>
      </c>
      <c r="AJ298" s="16">
        <f t="shared" si="271"/>
        <v>16.398287810843865</v>
      </c>
      <c r="AK298" s="16">
        <f t="shared" si="272"/>
        <v>5.3505911129229524</v>
      </c>
      <c r="AL298" s="16">
        <f t="shared" si="273"/>
        <v>5.1977170811251527</v>
      </c>
      <c r="AM298" s="16">
        <f t="shared" si="274"/>
        <v>0.19364044027721158</v>
      </c>
      <c r="AN298" s="16">
        <f t="shared" si="275"/>
        <v>8.4386465552384831</v>
      </c>
      <c r="AO298" s="16">
        <f t="shared" si="276"/>
        <v>10.711373827965756</v>
      </c>
      <c r="AP298" s="16">
        <f t="shared" si="277"/>
        <v>2.3950264981655121</v>
      </c>
      <c r="AQ298" s="16">
        <f t="shared" si="278"/>
        <v>0.14268242967794539</v>
      </c>
      <c r="AR298" s="16">
        <f t="shared" si="279"/>
        <v>0.13249082755809213</v>
      </c>
      <c r="AS298" s="16">
        <f t="shared" si="280"/>
        <v>99.999999999999986</v>
      </c>
      <c r="AT298" s="16">
        <f t="shared" si="281"/>
        <v>10.007898491642887</v>
      </c>
      <c r="AV298" s="1" t="s">
        <v>428</v>
      </c>
      <c r="AY298" s="41"/>
      <c r="AZ298" s="41"/>
      <c r="BA298" s="41">
        <v>335</v>
      </c>
      <c r="BB298" s="41"/>
      <c r="BC298" s="41">
        <v>304</v>
      </c>
      <c r="BD298" s="41"/>
      <c r="BE298" s="41">
        <v>48</v>
      </c>
      <c r="BF298" s="41"/>
      <c r="BG298" s="41">
        <v>107</v>
      </c>
      <c r="BH298" s="41"/>
      <c r="BI298" s="41">
        <v>177</v>
      </c>
      <c r="BJ298" s="41"/>
      <c r="BK298" s="41">
        <v>93</v>
      </c>
      <c r="BL298" s="41"/>
      <c r="BM298" s="41"/>
      <c r="BN298" s="41"/>
      <c r="BO298" s="41"/>
      <c r="BP298" s="41"/>
      <c r="BQ298" s="41">
        <v>208</v>
      </c>
      <c r="BR298" s="41"/>
      <c r="BS298" s="41">
        <v>20</v>
      </c>
      <c r="BT298" s="41"/>
      <c r="BU298" s="41">
        <v>78</v>
      </c>
      <c r="BV298" s="41"/>
      <c r="BW298" s="41">
        <v>4</v>
      </c>
    </row>
    <row r="299" spans="1:98">
      <c r="A299" s="1" t="s">
        <v>289</v>
      </c>
      <c r="B299" s="4" t="s">
        <v>290</v>
      </c>
      <c r="C299" s="1" t="s">
        <v>538</v>
      </c>
      <c r="D299" s="63">
        <v>67.22</v>
      </c>
      <c r="E299" s="63">
        <v>2.93</v>
      </c>
      <c r="F299" s="1" t="s">
        <v>308</v>
      </c>
      <c r="G299" s="1" t="s">
        <v>163</v>
      </c>
      <c r="H299" s="1" t="s">
        <v>147</v>
      </c>
      <c r="I299" s="9">
        <v>465.5</v>
      </c>
      <c r="J299" s="38" t="s">
        <v>256</v>
      </c>
      <c r="L299" s="4" t="s">
        <v>426</v>
      </c>
      <c r="M299" s="78" t="s">
        <v>866</v>
      </c>
      <c r="N299" s="78"/>
      <c r="Q299" s="1" t="s">
        <v>312</v>
      </c>
      <c r="R299" s="4">
        <v>48.6</v>
      </c>
      <c r="S299" s="1">
        <v>1.7</v>
      </c>
      <c r="T299" s="1">
        <v>18.28</v>
      </c>
      <c r="U299" s="1">
        <v>5.5</v>
      </c>
      <c r="V299" s="1">
        <v>4.88</v>
      </c>
      <c r="W299" s="1">
        <v>0.23</v>
      </c>
      <c r="X299" s="1">
        <v>6.39</v>
      </c>
      <c r="Y299" s="1">
        <v>9.68</v>
      </c>
      <c r="Z299" s="1">
        <v>2.77</v>
      </c>
      <c r="AA299" s="1">
        <v>0.11</v>
      </c>
      <c r="AB299" s="1">
        <v>0.16</v>
      </c>
      <c r="AC299" s="9">
        <v>1.91</v>
      </c>
      <c r="AD299" s="23">
        <f t="shared" si="266"/>
        <v>100.21000000000001</v>
      </c>
      <c r="AE299" s="21">
        <f t="shared" si="267"/>
        <v>9.8245000000000005</v>
      </c>
      <c r="AF299" s="23">
        <f t="shared" si="268"/>
        <v>0.5369327682299484</v>
      </c>
      <c r="AH299" s="16">
        <f t="shared" si="269"/>
        <v>49.440488301119018</v>
      </c>
      <c r="AI299" s="16">
        <f t="shared" si="270"/>
        <v>1.7293997965412002</v>
      </c>
      <c r="AJ299" s="16">
        <f t="shared" si="271"/>
        <v>18.596134282807729</v>
      </c>
      <c r="AK299" s="16">
        <f t="shared" si="272"/>
        <v>5.5951169888097656</v>
      </c>
      <c r="AL299" s="16">
        <f t="shared" si="273"/>
        <v>4.9643947100712102</v>
      </c>
      <c r="AM299" s="16">
        <f t="shared" si="274"/>
        <v>0.23397761953204474</v>
      </c>
      <c r="AN299" s="16">
        <f t="shared" si="275"/>
        <v>6.5005086469989823</v>
      </c>
      <c r="AO299" s="16">
        <f t="shared" si="276"/>
        <v>9.847405900305187</v>
      </c>
      <c r="AP299" s="16">
        <f t="shared" si="277"/>
        <v>2.8179043743641907</v>
      </c>
      <c r="AQ299" s="16">
        <f t="shared" si="278"/>
        <v>0.11190233977619531</v>
      </c>
      <c r="AR299" s="16">
        <f t="shared" si="279"/>
        <v>0.1627670396744659</v>
      </c>
      <c r="AS299" s="16">
        <f t="shared" si="280"/>
        <v>99.999999999999972</v>
      </c>
      <c r="AT299" s="16">
        <f t="shared" si="281"/>
        <v>9.9944048830111889</v>
      </c>
      <c r="AV299" s="1" t="s">
        <v>428</v>
      </c>
      <c r="AY299" s="41"/>
      <c r="AZ299" s="41"/>
      <c r="BA299" s="41">
        <v>337</v>
      </c>
      <c r="BB299" s="41"/>
      <c r="BC299" s="41">
        <v>38</v>
      </c>
      <c r="BD299" s="41"/>
      <c r="BE299" s="41">
        <v>47</v>
      </c>
      <c r="BF299" s="41"/>
      <c r="BG299" s="41">
        <v>54</v>
      </c>
      <c r="BH299" s="41"/>
      <c r="BI299" s="41">
        <v>91</v>
      </c>
      <c r="BJ299" s="41"/>
      <c r="BK299" s="41">
        <v>96</v>
      </c>
      <c r="BL299" s="41"/>
      <c r="BM299" s="41"/>
      <c r="BN299" s="41">
        <v>4</v>
      </c>
      <c r="BO299" s="41"/>
      <c r="BP299" s="41"/>
      <c r="BQ299" s="41">
        <v>240</v>
      </c>
      <c r="BR299" s="41"/>
      <c r="BS299" s="41">
        <v>22</v>
      </c>
      <c r="BT299" s="41"/>
      <c r="BU299" s="41">
        <v>92</v>
      </c>
      <c r="BV299" s="41"/>
      <c r="BW299" s="41">
        <v>6</v>
      </c>
      <c r="CB299" s="9">
        <v>4.7</v>
      </c>
      <c r="CC299" s="9">
        <v>13.5</v>
      </c>
      <c r="CE299" s="9">
        <v>10.8</v>
      </c>
      <c r="CF299" s="9">
        <v>3.45</v>
      </c>
      <c r="CG299" s="9">
        <v>1.31</v>
      </c>
      <c r="CI299" s="9">
        <v>0.77</v>
      </c>
      <c r="CN299" s="9">
        <v>2.64</v>
      </c>
      <c r="CO299" s="9">
        <v>0.38</v>
      </c>
      <c r="CP299" s="9">
        <v>2.35</v>
      </c>
      <c r="CQ299" s="9">
        <v>0.31</v>
      </c>
      <c r="CS299" s="9">
        <v>0.45</v>
      </c>
    </row>
    <row r="300" spans="1:98">
      <c r="A300" s="1" t="s">
        <v>289</v>
      </c>
      <c r="B300" s="4" t="s">
        <v>290</v>
      </c>
      <c r="C300" s="1" t="s">
        <v>539</v>
      </c>
      <c r="D300" s="63">
        <v>67.22</v>
      </c>
      <c r="E300" s="63">
        <v>2.93</v>
      </c>
      <c r="F300" s="1" t="s">
        <v>308</v>
      </c>
      <c r="G300" s="1" t="s">
        <v>186</v>
      </c>
      <c r="H300" s="1" t="s">
        <v>147</v>
      </c>
      <c r="I300" s="9">
        <v>467.7</v>
      </c>
      <c r="J300" s="38" t="s">
        <v>256</v>
      </c>
      <c r="L300" s="4" t="s">
        <v>426</v>
      </c>
      <c r="M300" s="78" t="s">
        <v>866</v>
      </c>
      <c r="N300" s="78"/>
      <c r="Q300" s="1" t="s">
        <v>312</v>
      </c>
      <c r="R300" s="4">
        <v>48.7</v>
      </c>
      <c r="S300" s="1">
        <v>1.81</v>
      </c>
      <c r="T300" s="1">
        <v>18.46</v>
      </c>
      <c r="U300" s="1">
        <v>6.19</v>
      </c>
      <c r="V300" s="1">
        <v>4.09</v>
      </c>
      <c r="W300" s="1">
        <v>0.19</v>
      </c>
      <c r="X300" s="1">
        <v>6.37</v>
      </c>
      <c r="Y300" s="1">
        <v>8.73</v>
      </c>
      <c r="Z300" s="1">
        <v>2.82</v>
      </c>
      <c r="AA300" s="1">
        <v>0.15</v>
      </c>
      <c r="AB300" s="1">
        <v>0.16</v>
      </c>
      <c r="AC300" s="9">
        <v>2.37</v>
      </c>
      <c r="AD300" s="23">
        <f t="shared" si="266"/>
        <v>100.04</v>
      </c>
      <c r="AE300" s="21">
        <f t="shared" si="267"/>
        <v>9.6548100000000012</v>
      </c>
      <c r="AF300" s="23">
        <f t="shared" si="268"/>
        <v>0.54048340215125334</v>
      </c>
      <c r="AH300" s="16">
        <f t="shared" si="269"/>
        <v>49.861779461451825</v>
      </c>
      <c r="AI300" s="16">
        <f t="shared" si="270"/>
        <v>1.853179072386608</v>
      </c>
      <c r="AJ300" s="16">
        <f t="shared" si="271"/>
        <v>18.900378826661207</v>
      </c>
      <c r="AK300" s="16">
        <f t="shared" si="272"/>
        <v>6.3376676563939798</v>
      </c>
      <c r="AL300" s="16">
        <f t="shared" si="273"/>
        <v>4.1875703900890757</v>
      </c>
      <c r="AM300" s="16">
        <f t="shared" si="274"/>
        <v>0.19453260980853895</v>
      </c>
      <c r="AN300" s="16">
        <f t="shared" si="275"/>
        <v>6.5219617077915428</v>
      </c>
      <c r="AO300" s="16">
        <f t="shared" si="276"/>
        <v>8.938261492781816</v>
      </c>
      <c r="AP300" s="16">
        <f t="shared" si="277"/>
        <v>2.8872734718951572</v>
      </c>
      <c r="AQ300" s="16">
        <f t="shared" si="278"/>
        <v>0.15357837616463602</v>
      </c>
      <c r="AR300" s="16">
        <f t="shared" si="279"/>
        <v>0.16381693457561175</v>
      </c>
      <c r="AS300" s="16">
        <f t="shared" si="280"/>
        <v>99.999999999999986</v>
      </c>
      <c r="AT300" s="16">
        <f t="shared" si="281"/>
        <v>9.8851336131872642</v>
      </c>
      <c r="AV300" s="1" t="s">
        <v>428</v>
      </c>
      <c r="AY300" s="41"/>
      <c r="AZ300" s="41"/>
      <c r="BA300" s="41">
        <v>357</v>
      </c>
      <c r="BB300" s="41"/>
      <c r="BC300" s="41">
        <v>41</v>
      </c>
      <c r="BD300" s="41"/>
      <c r="BE300" s="41">
        <v>40</v>
      </c>
      <c r="BF300" s="41"/>
      <c r="BG300" s="41">
        <v>53</v>
      </c>
      <c r="BH300" s="41"/>
      <c r="BI300" s="41">
        <v>114</v>
      </c>
      <c r="BJ300" s="41"/>
      <c r="BK300" s="41">
        <v>94</v>
      </c>
      <c r="BL300" s="41"/>
      <c r="BM300" s="41"/>
      <c r="BN300" s="41">
        <v>1</v>
      </c>
      <c r="BO300" s="41"/>
      <c r="BP300" s="41"/>
      <c r="BQ300" s="41">
        <v>235</v>
      </c>
      <c r="BR300" s="41"/>
      <c r="BS300" s="41">
        <v>22</v>
      </c>
      <c r="BT300" s="41"/>
      <c r="BU300" s="41">
        <v>96</v>
      </c>
      <c r="BV300" s="41"/>
      <c r="BW300" s="41">
        <v>5</v>
      </c>
      <c r="CB300" s="9">
        <v>7.1</v>
      </c>
      <c r="CC300" s="9">
        <v>18.8</v>
      </c>
      <c r="CE300" s="9">
        <v>14.8</v>
      </c>
      <c r="CF300" s="9">
        <v>4.51</v>
      </c>
      <c r="CG300" s="9">
        <v>1.66</v>
      </c>
      <c r="CI300" s="9">
        <v>0.92</v>
      </c>
      <c r="CN300" s="9">
        <v>2.98</v>
      </c>
      <c r="CO300" s="9">
        <v>0.45</v>
      </c>
      <c r="CP300" s="9">
        <v>3.05</v>
      </c>
      <c r="CQ300" s="9">
        <v>0.49</v>
      </c>
      <c r="CS300" s="9">
        <v>0.74</v>
      </c>
    </row>
    <row r="301" spans="1:98">
      <c r="A301" s="1" t="s">
        <v>289</v>
      </c>
      <c r="B301" s="4" t="s">
        <v>290</v>
      </c>
      <c r="C301" s="40" t="s">
        <v>665</v>
      </c>
      <c r="D301" s="63">
        <v>67.22</v>
      </c>
      <c r="E301" s="63">
        <v>2.93</v>
      </c>
      <c r="F301" s="1" t="s">
        <v>308</v>
      </c>
      <c r="G301" s="4"/>
      <c r="H301" s="4"/>
      <c r="J301" s="40" t="s">
        <v>256</v>
      </c>
      <c r="K301" s="40"/>
      <c r="L301" s="4" t="s">
        <v>423</v>
      </c>
      <c r="M301" s="78" t="s">
        <v>867</v>
      </c>
      <c r="N301" s="78"/>
      <c r="O301" s="4"/>
      <c r="P301" s="4"/>
      <c r="Q301" s="4"/>
      <c r="R301" s="4">
        <v>48.57</v>
      </c>
      <c r="S301" s="4">
        <v>1.62</v>
      </c>
      <c r="T301" s="4">
        <v>17.920000000000002</v>
      </c>
      <c r="U301" s="4">
        <v>11.97</v>
      </c>
      <c r="W301" s="4">
        <v>0.15</v>
      </c>
      <c r="X301" s="4">
        <v>6.61</v>
      </c>
      <c r="Y301" s="4">
        <v>10.039999999999999</v>
      </c>
      <c r="Z301" s="4">
        <v>2.89</v>
      </c>
      <c r="AA301" s="4">
        <v>0.1</v>
      </c>
      <c r="AB301" s="4">
        <v>0.13</v>
      </c>
      <c r="AD301" s="23">
        <f t="shared" si="266"/>
        <v>99.999999999999986</v>
      </c>
      <c r="AE301" s="21">
        <f t="shared" si="267"/>
        <v>10.761030000000002</v>
      </c>
      <c r="AF301" s="23">
        <f t="shared" si="268"/>
        <v>0.52268392065593139</v>
      </c>
      <c r="AG301" s="45"/>
      <c r="AH301" s="16">
        <f t="shared" si="269"/>
        <v>48.570000000000007</v>
      </c>
      <c r="AI301" s="16">
        <f t="shared" si="270"/>
        <v>1.6200000000000003</v>
      </c>
      <c r="AJ301" s="16">
        <f t="shared" si="271"/>
        <v>17.920000000000005</v>
      </c>
      <c r="AK301" s="16">
        <f t="shared" si="272"/>
        <v>11.970000000000002</v>
      </c>
      <c r="AL301" s="16">
        <f t="shared" si="273"/>
        <v>0</v>
      </c>
      <c r="AM301" s="16">
        <f t="shared" si="274"/>
        <v>0.15000000000000002</v>
      </c>
      <c r="AN301" s="16">
        <f t="shared" si="275"/>
        <v>6.6100000000000012</v>
      </c>
      <c r="AO301" s="16">
        <f t="shared" si="276"/>
        <v>10.040000000000001</v>
      </c>
      <c r="AP301" s="16">
        <f t="shared" si="277"/>
        <v>2.8900000000000006</v>
      </c>
      <c r="AQ301" s="16">
        <f t="shared" si="278"/>
        <v>0.10000000000000002</v>
      </c>
      <c r="AR301" s="16">
        <f t="shared" si="279"/>
        <v>0.13000000000000003</v>
      </c>
      <c r="AS301" s="16">
        <f t="shared" si="280"/>
        <v>100.00000000000001</v>
      </c>
      <c r="AT301" s="16">
        <f t="shared" si="281"/>
        <v>10.761030000000002</v>
      </c>
      <c r="AU301" s="45"/>
      <c r="AV301" s="4"/>
      <c r="AY301" s="39" t="s">
        <v>135</v>
      </c>
      <c r="BR301" s="39">
        <v>23.71</v>
      </c>
      <c r="BS301" s="39"/>
      <c r="BT301" s="39">
        <v>100.94</v>
      </c>
      <c r="BV301" s="39">
        <v>5.96</v>
      </c>
      <c r="BW301" s="39"/>
      <c r="CA301" s="39">
        <v>40.22</v>
      </c>
      <c r="CB301" s="39">
        <v>3.92</v>
      </c>
      <c r="CC301" s="39">
        <v>13.57</v>
      </c>
      <c r="CD301" s="39">
        <v>1.97</v>
      </c>
      <c r="CE301" s="39">
        <v>10.59</v>
      </c>
      <c r="CF301" s="39">
        <v>3.22</v>
      </c>
      <c r="CG301" s="39">
        <v>1.22</v>
      </c>
      <c r="CH301" s="39">
        <v>3.39</v>
      </c>
      <c r="CI301" s="39">
        <v>0.75</v>
      </c>
      <c r="CJ301" s="39">
        <v>4.34</v>
      </c>
      <c r="CK301" s="39">
        <v>0.92</v>
      </c>
      <c r="CL301" s="39">
        <v>2.4900000000000002</v>
      </c>
      <c r="CM301" s="39">
        <v>0.39</v>
      </c>
      <c r="CN301" s="39">
        <v>2.2200000000000002</v>
      </c>
      <c r="CO301" s="39">
        <v>0.32</v>
      </c>
      <c r="CP301" s="39">
        <v>2.65</v>
      </c>
      <c r="CQ301" s="39">
        <v>0.37</v>
      </c>
      <c r="CR301" s="39">
        <v>0.55000000000000004</v>
      </c>
      <c r="CS301" s="39">
        <v>0.5</v>
      </c>
      <c r="CT301" s="39">
        <v>0.18</v>
      </c>
    </row>
    <row r="302" spans="1:98">
      <c r="A302" s="1" t="s">
        <v>289</v>
      </c>
      <c r="B302" s="4" t="s">
        <v>290</v>
      </c>
      <c r="C302" s="1" t="s">
        <v>540</v>
      </c>
      <c r="D302" s="63">
        <v>67.22</v>
      </c>
      <c r="E302" s="63">
        <v>2.93</v>
      </c>
      <c r="F302" s="1" t="s">
        <v>308</v>
      </c>
      <c r="G302" s="1" t="s">
        <v>151</v>
      </c>
      <c r="H302" s="1" t="s">
        <v>147</v>
      </c>
      <c r="I302" s="9">
        <v>472</v>
      </c>
      <c r="J302" s="38" t="s">
        <v>256</v>
      </c>
      <c r="L302" s="4" t="s">
        <v>426</v>
      </c>
      <c r="M302" s="78" t="s">
        <v>866</v>
      </c>
      <c r="N302" s="78"/>
      <c r="Q302" s="1" t="s">
        <v>312</v>
      </c>
      <c r="R302" s="4">
        <v>48.1</v>
      </c>
      <c r="S302" s="1">
        <v>1.41</v>
      </c>
      <c r="T302" s="1">
        <v>16.190000000000001</v>
      </c>
      <c r="U302" s="1">
        <v>4.38</v>
      </c>
      <c r="V302" s="1">
        <v>5.98</v>
      </c>
      <c r="W302" s="1">
        <v>0.2</v>
      </c>
      <c r="X302" s="1">
        <v>7.73</v>
      </c>
      <c r="Y302" s="1">
        <v>10.96</v>
      </c>
      <c r="Z302" s="1">
        <v>2.25</v>
      </c>
      <c r="AA302" s="1">
        <v>7.0000000000000007E-2</v>
      </c>
      <c r="AB302" s="1">
        <v>0.12</v>
      </c>
      <c r="AC302" s="9">
        <v>1.84</v>
      </c>
      <c r="AD302" s="23">
        <f t="shared" si="266"/>
        <v>99.230000000000018</v>
      </c>
      <c r="AE302" s="21">
        <f t="shared" si="267"/>
        <v>9.9176199999999994</v>
      </c>
      <c r="AF302" s="23">
        <f t="shared" si="268"/>
        <v>0.581501810627294</v>
      </c>
      <c r="AH302" s="16">
        <f t="shared" si="269"/>
        <v>49.389054317691745</v>
      </c>
      <c r="AI302" s="16">
        <f t="shared" si="270"/>
        <v>1.4477872471506312</v>
      </c>
      <c r="AJ302" s="16">
        <f t="shared" si="271"/>
        <v>16.623883355580656</v>
      </c>
      <c r="AK302" s="16">
        <f t="shared" si="272"/>
        <v>4.4973816613615352</v>
      </c>
      <c r="AL302" s="16">
        <f t="shared" si="273"/>
        <v>6.1402608070643794</v>
      </c>
      <c r="AM302" s="16">
        <f t="shared" si="274"/>
        <v>0.2053598932128555</v>
      </c>
      <c r="AN302" s="16">
        <f t="shared" si="275"/>
        <v>7.9371598726768653</v>
      </c>
      <c r="AO302" s="16">
        <f t="shared" si="276"/>
        <v>11.253722148064481</v>
      </c>
      <c r="AP302" s="16">
        <f t="shared" si="277"/>
        <v>2.3102987986446242</v>
      </c>
      <c r="AQ302" s="16">
        <f t="shared" si="278"/>
        <v>7.187596262449944E-2</v>
      </c>
      <c r="AR302" s="16">
        <f t="shared" si="279"/>
        <v>0.12321593592771329</v>
      </c>
      <c r="AS302" s="16">
        <f t="shared" si="280"/>
        <v>99.999999999999986</v>
      </c>
      <c r="AT302" s="16">
        <f t="shared" si="281"/>
        <v>10.1834069206284</v>
      </c>
      <c r="AV302" s="1" t="s">
        <v>428</v>
      </c>
      <c r="AY302" s="41">
        <v>37.9</v>
      </c>
      <c r="AZ302" s="41"/>
      <c r="BA302" s="41">
        <v>292</v>
      </c>
      <c r="BB302" s="41"/>
      <c r="BC302" s="41">
        <v>209</v>
      </c>
      <c r="BD302" s="41"/>
      <c r="BE302" s="41">
        <v>44.8</v>
      </c>
      <c r="BF302" s="41"/>
      <c r="BG302" s="41">
        <v>91</v>
      </c>
      <c r="BH302" s="41"/>
      <c r="BI302" s="41">
        <v>128</v>
      </c>
      <c r="BJ302" s="41"/>
      <c r="BK302" s="41">
        <v>84</v>
      </c>
      <c r="BL302" s="41"/>
      <c r="BM302" s="41"/>
      <c r="BN302" s="41">
        <v>4</v>
      </c>
      <c r="BO302" s="41"/>
      <c r="BP302" s="41"/>
      <c r="BQ302" s="41">
        <v>202</v>
      </c>
      <c r="BR302" s="41"/>
      <c r="BS302" s="41">
        <v>22</v>
      </c>
      <c r="BT302" s="41"/>
      <c r="BU302" s="41">
        <v>71</v>
      </c>
      <c r="BV302" s="41"/>
      <c r="BW302" s="41">
        <v>3</v>
      </c>
    </row>
    <row r="303" spans="1:98">
      <c r="A303" s="1" t="s">
        <v>289</v>
      </c>
      <c r="B303" s="4" t="s">
        <v>290</v>
      </c>
      <c r="C303" s="1" t="s">
        <v>541</v>
      </c>
      <c r="D303" s="63">
        <v>67.22</v>
      </c>
      <c r="E303" s="63">
        <v>2.93</v>
      </c>
      <c r="F303" s="1" t="s">
        <v>308</v>
      </c>
      <c r="G303" s="1" t="s">
        <v>150</v>
      </c>
      <c r="H303" s="1" t="s">
        <v>147</v>
      </c>
      <c r="I303" s="9">
        <v>475.3</v>
      </c>
      <c r="J303" s="38" t="s">
        <v>256</v>
      </c>
      <c r="L303" s="4" t="s">
        <v>426</v>
      </c>
      <c r="M303" s="78" t="s">
        <v>866</v>
      </c>
      <c r="N303" s="78"/>
      <c r="Q303" s="1" t="s">
        <v>312</v>
      </c>
      <c r="R303" s="4">
        <v>48.7</v>
      </c>
      <c r="S303" s="1">
        <v>1.45</v>
      </c>
      <c r="T303" s="1">
        <v>16.440000000000001</v>
      </c>
      <c r="U303" s="1">
        <v>4.62</v>
      </c>
      <c r="V303" s="1">
        <v>5.72</v>
      </c>
      <c r="W303" s="1">
        <v>0.17</v>
      </c>
      <c r="X303" s="1">
        <v>7.38</v>
      </c>
      <c r="Y303" s="1">
        <v>11.86</v>
      </c>
      <c r="Z303" s="1">
        <v>2.17</v>
      </c>
      <c r="AA303" s="1">
        <v>7.0000000000000007E-2</v>
      </c>
      <c r="AB303" s="1">
        <v>0.12</v>
      </c>
      <c r="AC303" s="9">
        <v>1.42</v>
      </c>
      <c r="AD303" s="23">
        <f t="shared" si="266"/>
        <v>100.12</v>
      </c>
      <c r="AE303" s="21">
        <f t="shared" si="267"/>
        <v>9.8733800000000009</v>
      </c>
      <c r="AF303" s="23">
        <f t="shared" si="268"/>
        <v>0.57128039006805875</v>
      </c>
      <c r="AH303" s="16">
        <f t="shared" si="269"/>
        <v>49.341438703140831</v>
      </c>
      <c r="AI303" s="16">
        <f t="shared" si="270"/>
        <v>1.4690982776089159</v>
      </c>
      <c r="AJ303" s="16">
        <f t="shared" si="271"/>
        <v>16.656534954407295</v>
      </c>
      <c r="AK303" s="16">
        <f t="shared" si="272"/>
        <v>4.6808510638297873</v>
      </c>
      <c r="AL303" s="16">
        <f t="shared" si="273"/>
        <v>5.7953394123606889</v>
      </c>
      <c r="AM303" s="16">
        <f t="shared" si="274"/>
        <v>0.17223910840932116</v>
      </c>
      <c r="AN303" s="16">
        <f t="shared" si="275"/>
        <v>7.4772036474164132</v>
      </c>
      <c r="AO303" s="16">
        <f t="shared" si="276"/>
        <v>12.016210739614994</v>
      </c>
      <c r="AP303" s="16">
        <f t="shared" si="277"/>
        <v>2.1985815602836878</v>
      </c>
      <c r="AQ303" s="16">
        <f t="shared" si="278"/>
        <v>7.0921985815602842E-2</v>
      </c>
      <c r="AR303" s="16">
        <f t="shared" si="279"/>
        <v>0.12158054711246201</v>
      </c>
      <c r="AS303" s="16">
        <f t="shared" si="280"/>
        <v>99.999999999999986</v>
      </c>
      <c r="AT303" s="16">
        <f t="shared" si="281"/>
        <v>10.003424518743667</v>
      </c>
      <c r="AV303" s="1" t="s">
        <v>428</v>
      </c>
      <c r="AY303" s="41">
        <v>39.799999999999997</v>
      </c>
      <c r="AZ303" s="41"/>
      <c r="BA303" s="41">
        <v>305</v>
      </c>
      <c r="BB303" s="41"/>
      <c r="BC303" s="41">
        <v>232</v>
      </c>
      <c r="BD303" s="41"/>
      <c r="BE303" s="41">
        <v>45.2</v>
      </c>
      <c r="BF303" s="41"/>
      <c r="BG303" s="41">
        <v>93</v>
      </c>
      <c r="BH303" s="41"/>
      <c r="BI303" s="41">
        <v>106</v>
      </c>
      <c r="BJ303" s="41"/>
      <c r="BK303" s="41">
        <v>87</v>
      </c>
      <c r="BL303" s="41"/>
      <c r="BM303" s="41"/>
      <c r="BN303" s="41">
        <v>3</v>
      </c>
      <c r="BO303" s="41"/>
      <c r="BP303" s="41"/>
      <c r="BQ303" s="41">
        <v>208</v>
      </c>
      <c r="BR303" s="41"/>
      <c r="BS303" s="41">
        <v>22</v>
      </c>
      <c r="BT303" s="41"/>
      <c r="BU303" s="41">
        <v>71</v>
      </c>
      <c r="BV303" s="41"/>
      <c r="BW303" s="41">
        <v>4</v>
      </c>
      <c r="CB303" s="9">
        <v>4</v>
      </c>
      <c r="CC303" s="9">
        <v>10.6</v>
      </c>
      <c r="CE303" s="9">
        <v>8.4</v>
      </c>
      <c r="CF303" s="9">
        <v>2.75</v>
      </c>
      <c r="CG303" s="9">
        <v>1.0900000000000001</v>
      </c>
      <c r="CI303" s="9">
        <v>0.57999999999999996</v>
      </c>
      <c r="CN303" s="9">
        <v>1.89</v>
      </c>
      <c r="CO303" s="9">
        <v>0.28000000000000003</v>
      </c>
      <c r="CP303" s="9">
        <v>1.73</v>
      </c>
      <c r="CQ303" s="9">
        <v>0.31</v>
      </c>
      <c r="CS303" s="9">
        <v>0.34</v>
      </c>
    </row>
    <row r="304" spans="1:98">
      <c r="A304" s="1" t="s">
        <v>289</v>
      </c>
      <c r="B304" s="4" t="s">
        <v>290</v>
      </c>
      <c r="C304" s="1" t="s">
        <v>542</v>
      </c>
      <c r="D304" s="63">
        <v>67.22</v>
      </c>
      <c r="E304" s="63">
        <v>2.93</v>
      </c>
      <c r="F304" s="1" t="s">
        <v>308</v>
      </c>
      <c r="G304" s="1" t="s">
        <v>146</v>
      </c>
      <c r="H304" s="1" t="s">
        <v>147</v>
      </c>
      <c r="I304" s="9">
        <v>478.1</v>
      </c>
      <c r="J304" s="38" t="s">
        <v>256</v>
      </c>
      <c r="L304" s="4" t="s">
        <v>426</v>
      </c>
      <c r="M304" s="78" t="s">
        <v>866</v>
      </c>
      <c r="N304" s="78"/>
      <c r="Q304" s="1" t="s">
        <v>312</v>
      </c>
      <c r="R304" s="4">
        <v>48.4</v>
      </c>
      <c r="S304" s="1">
        <v>1.51</v>
      </c>
      <c r="T304" s="1">
        <v>16.36</v>
      </c>
      <c r="U304" s="1">
        <v>4.92</v>
      </c>
      <c r="V304" s="1">
        <v>5.78</v>
      </c>
      <c r="W304" s="1">
        <v>0.17</v>
      </c>
      <c r="X304" s="1">
        <v>7.37</v>
      </c>
      <c r="Y304" s="1">
        <v>12</v>
      </c>
      <c r="Z304" s="1">
        <v>2.23</v>
      </c>
      <c r="AA304" s="1">
        <v>7.0000000000000007E-2</v>
      </c>
      <c r="AB304" s="1">
        <v>0.13</v>
      </c>
      <c r="AC304" s="9">
        <v>1.71</v>
      </c>
      <c r="AD304" s="23">
        <f t="shared" si="266"/>
        <v>100.64999999999999</v>
      </c>
      <c r="AE304" s="21">
        <f t="shared" si="267"/>
        <v>10.20308</v>
      </c>
      <c r="AF304" s="23">
        <f t="shared" si="268"/>
        <v>0.56288369041239483</v>
      </c>
      <c r="AH304" s="16">
        <f t="shared" si="269"/>
        <v>48.918536486759656</v>
      </c>
      <c r="AI304" s="16">
        <f t="shared" si="270"/>
        <v>1.5261774813017992</v>
      </c>
      <c r="AJ304" s="16">
        <f t="shared" si="271"/>
        <v>16.535273903375785</v>
      </c>
      <c r="AK304" s="16">
        <f t="shared" si="272"/>
        <v>4.9727107337780474</v>
      </c>
      <c r="AL304" s="16">
        <f t="shared" si="273"/>
        <v>5.8419243986254301</v>
      </c>
      <c r="AM304" s="16">
        <f t="shared" si="274"/>
        <v>0.1718213058419244</v>
      </c>
      <c r="AN304" s="16">
        <f t="shared" si="275"/>
        <v>7.4489589650293109</v>
      </c>
      <c r="AO304" s="16">
        <f t="shared" si="276"/>
        <v>12.12856276531231</v>
      </c>
      <c r="AP304" s="16">
        <f t="shared" si="277"/>
        <v>2.2538912472205377</v>
      </c>
      <c r="AQ304" s="16">
        <f t="shared" si="278"/>
        <v>7.0749949464321824E-2</v>
      </c>
      <c r="AR304" s="16">
        <f t="shared" si="279"/>
        <v>0.13139276329088337</v>
      </c>
      <c r="AS304" s="16">
        <f t="shared" si="280"/>
        <v>100.00000000000001</v>
      </c>
      <c r="AT304" s="16">
        <f t="shared" si="281"/>
        <v>10.312391348291895</v>
      </c>
      <c r="AV304" s="1" t="s">
        <v>428</v>
      </c>
      <c r="AY304" s="41"/>
      <c r="AZ304" s="41"/>
      <c r="BA304" s="41">
        <v>305</v>
      </c>
      <c r="BB304" s="41"/>
      <c r="BC304" s="41">
        <v>251</v>
      </c>
      <c r="BD304" s="41"/>
      <c r="BE304" s="41">
        <v>36</v>
      </c>
      <c r="BF304" s="41"/>
      <c r="BG304" s="41">
        <v>100</v>
      </c>
      <c r="BH304" s="41"/>
      <c r="BI304" s="41">
        <v>46</v>
      </c>
      <c r="BJ304" s="41"/>
      <c r="BK304" s="41">
        <v>85</v>
      </c>
      <c r="BL304" s="41"/>
      <c r="BM304" s="41"/>
      <c r="BN304" s="41">
        <v>5</v>
      </c>
      <c r="BO304" s="41"/>
      <c r="BP304" s="41"/>
      <c r="BQ304" s="41">
        <v>174</v>
      </c>
      <c r="BR304" s="41"/>
      <c r="BS304" s="41">
        <v>25</v>
      </c>
      <c r="BT304" s="41"/>
      <c r="BU304" s="41">
        <v>75</v>
      </c>
      <c r="BV304" s="41"/>
      <c r="BW304" s="41">
        <v>6</v>
      </c>
    </row>
    <row r="305" spans="1:98">
      <c r="A305" s="1" t="s">
        <v>289</v>
      </c>
      <c r="B305" s="4" t="s">
        <v>290</v>
      </c>
      <c r="C305" s="40" t="s">
        <v>666</v>
      </c>
      <c r="D305" s="63">
        <v>67.22</v>
      </c>
      <c r="E305" s="63">
        <v>2.93</v>
      </c>
      <c r="F305" s="1" t="s">
        <v>308</v>
      </c>
      <c r="G305" s="4"/>
      <c r="H305" s="4"/>
      <c r="J305" s="38" t="s">
        <v>256</v>
      </c>
      <c r="K305" s="40"/>
      <c r="L305" s="4" t="s">
        <v>423</v>
      </c>
      <c r="M305" s="78" t="s">
        <v>867</v>
      </c>
      <c r="N305" s="78"/>
      <c r="O305" s="4"/>
      <c r="P305" s="4"/>
      <c r="Q305" s="4"/>
      <c r="AD305" s="23"/>
      <c r="AE305" s="23"/>
      <c r="AF305" s="23"/>
      <c r="AG305" s="45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45"/>
      <c r="AV305" s="4"/>
      <c r="AY305" s="39">
        <v>34.92</v>
      </c>
      <c r="BR305" s="39">
        <v>21.69</v>
      </c>
      <c r="BS305" s="39"/>
      <c r="BT305" s="39">
        <v>68.19</v>
      </c>
      <c r="BV305" s="39">
        <v>5</v>
      </c>
      <c r="BW305" s="39"/>
      <c r="CA305" s="39">
        <v>21.08</v>
      </c>
      <c r="CB305" s="39">
        <v>4.6399999999999997</v>
      </c>
      <c r="CC305" s="39">
        <v>10.89</v>
      </c>
      <c r="CD305" s="39">
        <v>1.65</v>
      </c>
      <c r="CE305" s="39">
        <v>8.8000000000000007</v>
      </c>
      <c r="CF305" s="39">
        <v>2.76</v>
      </c>
      <c r="CG305" s="39">
        <v>1.08</v>
      </c>
      <c r="CH305" s="39">
        <v>3.39</v>
      </c>
      <c r="CI305" s="39">
        <v>0.61</v>
      </c>
      <c r="CJ305" s="39">
        <v>3.76</v>
      </c>
      <c r="CK305" s="39">
        <v>0.77</v>
      </c>
      <c r="CL305" s="39">
        <v>2.16</v>
      </c>
      <c r="CM305" s="39">
        <v>0.33</v>
      </c>
      <c r="CN305" s="39">
        <v>1.96</v>
      </c>
      <c r="CO305" s="39">
        <v>0.3</v>
      </c>
      <c r="CP305" s="39">
        <v>1.81</v>
      </c>
      <c r="CQ305" s="39">
        <v>0.28000000000000003</v>
      </c>
      <c r="CR305" s="39"/>
      <c r="CS305" s="39">
        <v>0.25</v>
      </c>
      <c r="CT305" s="39">
        <v>0.05</v>
      </c>
    </row>
    <row r="306" spans="1:98">
      <c r="A306" s="1" t="s">
        <v>289</v>
      </c>
      <c r="B306" s="4" t="s">
        <v>290</v>
      </c>
      <c r="C306" s="1" t="s">
        <v>543</v>
      </c>
      <c r="D306" s="63">
        <v>67.22</v>
      </c>
      <c r="E306" s="63">
        <v>2.93</v>
      </c>
      <c r="F306" s="1" t="s">
        <v>308</v>
      </c>
      <c r="G306" s="1" t="s">
        <v>239</v>
      </c>
      <c r="H306" s="1" t="s">
        <v>147</v>
      </c>
      <c r="I306" s="9">
        <v>482.9</v>
      </c>
      <c r="J306" s="38" t="s">
        <v>256</v>
      </c>
      <c r="L306" s="4" t="s">
        <v>426</v>
      </c>
      <c r="M306" s="78" t="s">
        <v>866</v>
      </c>
      <c r="N306" s="78"/>
      <c r="Q306" s="1" t="s">
        <v>312</v>
      </c>
      <c r="R306" s="4">
        <v>49.1</v>
      </c>
      <c r="S306" s="1">
        <v>1.27</v>
      </c>
      <c r="T306" s="1">
        <v>13.69</v>
      </c>
      <c r="U306" s="1">
        <v>11.03</v>
      </c>
      <c r="V306" s="1">
        <v>3.88</v>
      </c>
      <c r="W306" s="1">
        <v>0.08</v>
      </c>
      <c r="X306" s="1">
        <v>7.91</v>
      </c>
      <c r="Y306" s="1">
        <v>4.1100000000000003</v>
      </c>
      <c r="Z306" s="1">
        <v>2.3199999999999998</v>
      </c>
      <c r="AA306" s="1">
        <v>1.1599999999999999</v>
      </c>
      <c r="AB306" s="1">
        <v>0.4</v>
      </c>
      <c r="AC306" s="9">
        <v>6.02</v>
      </c>
      <c r="AD306" s="23">
        <f>SUM(R306:AB306)+AC306</f>
        <v>100.96999999999998</v>
      </c>
      <c r="AE306" s="21">
        <f>V306+0.899*U306</f>
        <v>13.795970000000001</v>
      </c>
      <c r="AF306" s="23">
        <f>(X306/40.3)/((X306/40.3)+(AE306/71.844))</f>
        <v>0.50547400478882876</v>
      </c>
      <c r="AH306" s="16">
        <f t="shared" ref="AH306:AR310" si="282">100*R306/SUM($R306:$AB306)</f>
        <v>51.711427066877313</v>
      </c>
      <c r="AI306" s="16">
        <f t="shared" si="282"/>
        <v>1.33754607688257</v>
      </c>
      <c r="AJ306" s="16">
        <f t="shared" si="282"/>
        <v>14.418114797261719</v>
      </c>
      <c r="AK306" s="16">
        <f t="shared" si="282"/>
        <v>11.616640337019485</v>
      </c>
      <c r="AL306" s="16">
        <f t="shared" si="282"/>
        <v>4.0863612427593479</v>
      </c>
      <c r="AM306" s="16">
        <f t="shared" si="282"/>
        <v>8.4254870984728808E-2</v>
      </c>
      <c r="AN306" s="16">
        <f t="shared" si="282"/>
        <v>8.3307003686150622</v>
      </c>
      <c r="AO306" s="16">
        <f t="shared" si="282"/>
        <v>4.3285939968404437</v>
      </c>
      <c r="AP306" s="16">
        <f t="shared" si="282"/>
        <v>2.4433912585571353</v>
      </c>
      <c r="AQ306" s="16">
        <f t="shared" si="282"/>
        <v>1.2216956292785677</v>
      </c>
      <c r="AR306" s="16">
        <f t="shared" si="282"/>
        <v>0.42127435492364407</v>
      </c>
      <c r="AS306" s="16">
        <f>SUM(AH306:AR306)</f>
        <v>100.00000000000001</v>
      </c>
      <c r="AT306" s="16">
        <f>AL306+0.899*AK306</f>
        <v>14.529720905739865</v>
      </c>
      <c r="AV306" s="1" t="s">
        <v>428</v>
      </c>
      <c r="AY306" s="41"/>
      <c r="AZ306" s="41"/>
      <c r="BA306" s="41">
        <v>248</v>
      </c>
      <c r="BB306" s="41"/>
      <c r="BC306" s="41">
        <v>121</v>
      </c>
      <c r="BD306" s="41"/>
      <c r="BE306" s="41">
        <v>64</v>
      </c>
      <c r="BF306" s="41"/>
      <c r="BG306" s="41">
        <v>129</v>
      </c>
      <c r="BH306" s="41"/>
      <c r="BI306" s="41">
        <v>123</v>
      </c>
      <c r="BJ306" s="41"/>
      <c r="BK306" s="41">
        <v>111</v>
      </c>
      <c r="BL306" s="41"/>
      <c r="BM306" s="41"/>
      <c r="BN306" s="41">
        <v>25</v>
      </c>
      <c r="BO306" s="41"/>
      <c r="BP306" s="41"/>
      <c r="BQ306" s="41">
        <v>131</v>
      </c>
      <c r="BR306" s="41"/>
      <c r="BS306" s="41">
        <v>52</v>
      </c>
      <c r="BT306" s="41"/>
      <c r="BU306" s="41">
        <v>72</v>
      </c>
      <c r="BV306" s="41"/>
      <c r="BW306" s="41">
        <v>5</v>
      </c>
    </row>
    <row r="307" spans="1:98">
      <c r="A307" s="1" t="s">
        <v>289</v>
      </c>
      <c r="B307" s="4" t="s">
        <v>290</v>
      </c>
      <c r="C307" s="1" t="s">
        <v>544</v>
      </c>
      <c r="D307" s="63">
        <v>67.22</v>
      </c>
      <c r="E307" s="63">
        <v>2.93</v>
      </c>
      <c r="F307" s="1" t="s">
        <v>308</v>
      </c>
      <c r="G307" s="1" t="s">
        <v>153</v>
      </c>
      <c r="H307" s="1" t="s">
        <v>154</v>
      </c>
      <c r="I307" s="9">
        <v>486.4</v>
      </c>
      <c r="J307" s="38" t="s">
        <v>256</v>
      </c>
      <c r="L307" s="4" t="s">
        <v>426</v>
      </c>
      <c r="M307" s="78" t="s">
        <v>866</v>
      </c>
      <c r="N307" s="78"/>
      <c r="Q307" s="1" t="s">
        <v>312</v>
      </c>
      <c r="R307" s="4">
        <v>47.8</v>
      </c>
      <c r="S307" s="1">
        <v>2.38</v>
      </c>
      <c r="T307" s="1">
        <v>14.68</v>
      </c>
      <c r="U307" s="1">
        <v>6.73</v>
      </c>
      <c r="V307" s="1">
        <v>5.48</v>
      </c>
      <c r="W307" s="1">
        <v>0.26</v>
      </c>
      <c r="X307" s="1">
        <v>8.02</v>
      </c>
      <c r="Y307" s="1">
        <v>8.32</v>
      </c>
      <c r="Z307" s="1">
        <v>2.92</v>
      </c>
      <c r="AA307" s="1">
        <v>0.17</v>
      </c>
      <c r="AB307" s="1">
        <v>0.28999999999999998</v>
      </c>
      <c r="AC307" s="9">
        <v>2.89</v>
      </c>
      <c r="AD307" s="23">
        <f>SUM(R307:AB307)+AC307</f>
        <v>99.940000000000026</v>
      </c>
      <c r="AE307" s="21">
        <f>V307+0.899*U307</f>
        <v>11.530270000000002</v>
      </c>
      <c r="AF307" s="23">
        <f>(X307/40.3)/((X307/40.3)+(AE307/71.844))</f>
        <v>0.55357066836467739</v>
      </c>
      <c r="AH307" s="16">
        <f t="shared" si="282"/>
        <v>49.252962390520338</v>
      </c>
      <c r="AI307" s="16">
        <f t="shared" si="282"/>
        <v>2.4523441524987115</v>
      </c>
      <c r="AJ307" s="16">
        <f t="shared" si="282"/>
        <v>15.126223596084488</v>
      </c>
      <c r="AK307" s="16">
        <f t="shared" si="282"/>
        <v>6.9345698093766082</v>
      </c>
      <c r="AL307" s="16">
        <f t="shared" si="282"/>
        <v>5.6465739309634193</v>
      </c>
      <c r="AM307" s="16">
        <f t="shared" si="282"/>
        <v>0.26790314270994325</v>
      </c>
      <c r="AN307" s="16">
        <f t="shared" si="282"/>
        <v>8.2637815558990191</v>
      </c>
      <c r="AO307" s="16">
        <f t="shared" si="282"/>
        <v>8.5729005667181841</v>
      </c>
      <c r="AP307" s="16">
        <f t="shared" si="282"/>
        <v>3.0087583719732089</v>
      </c>
      <c r="AQ307" s="16">
        <f t="shared" si="282"/>
        <v>0.17516743946419366</v>
      </c>
      <c r="AR307" s="16">
        <f t="shared" si="282"/>
        <v>0.29881504379185975</v>
      </c>
      <c r="AS307" s="16">
        <f>SUM(AH307:AR307)</f>
        <v>99.999999999999972</v>
      </c>
      <c r="AT307" s="16">
        <f>AL307+0.899*AK307</f>
        <v>11.88075218959299</v>
      </c>
      <c r="AV307" s="1" t="s">
        <v>428</v>
      </c>
      <c r="AY307" s="41"/>
      <c r="AZ307" s="41"/>
      <c r="BA307" s="41">
        <v>362</v>
      </c>
      <c r="BB307" s="41"/>
      <c r="BC307" s="41">
        <v>71</v>
      </c>
      <c r="BD307" s="41"/>
      <c r="BE307" s="41">
        <v>46</v>
      </c>
      <c r="BF307" s="41"/>
      <c r="BG307" s="41">
        <v>84</v>
      </c>
      <c r="BH307" s="41"/>
      <c r="BI307" s="41">
        <v>125</v>
      </c>
      <c r="BJ307" s="41"/>
      <c r="BK307" s="41">
        <v>149</v>
      </c>
      <c r="BL307" s="41"/>
      <c r="BM307" s="41"/>
      <c r="BN307" s="41">
        <v>4</v>
      </c>
      <c r="BO307" s="41"/>
      <c r="BP307" s="41"/>
      <c r="BQ307" s="41">
        <v>204</v>
      </c>
      <c r="BR307" s="41"/>
      <c r="BS307" s="41">
        <v>54</v>
      </c>
      <c r="BT307" s="41"/>
      <c r="BU307" s="41">
        <v>136</v>
      </c>
      <c r="BV307" s="41"/>
      <c r="BW307" s="41">
        <v>9</v>
      </c>
    </row>
    <row r="308" spans="1:98">
      <c r="A308" s="1" t="s">
        <v>289</v>
      </c>
      <c r="B308" s="4" t="s">
        <v>290</v>
      </c>
      <c r="C308" s="40" t="s">
        <v>667</v>
      </c>
      <c r="D308" s="63">
        <v>67.22</v>
      </c>
      <c r="E308" s="63">
        <v>2.93</v>
      </c>
      <c r="F308" s="1" t="s">
        <v>308</v>
      </c>
      <c r="G308" s="4"/>
      <c r="H308" s="4"/>
      <c r="J308" s="40" t="s">
        <v>256</v>
      </c>
      <c r="K308" s="40"/>
      <c r="L308" s="4" t="s">
        <v>423</v>
      </c>
      <c r="M308" s="78" t="s">
        <v>867</v>
      </c>
      <c r="N308" s="78"/>
      <c r="O308" s="40"/>
      <c r="P308" s="4"/>
      <c r="Q308" s="4"/>
      <c r="R308" s="4">
        <v>48.35</v>
      </c>
      <c r="S308" s="4">
        <v>1.56</v>
      </c>
      <c r="T308" s="4">
        <v>16.420000000000002</v>
      </c>
      <c r="U308" s="4">
        <v>11.95</v>
      </c>
      <c r="W308" s="4">
        <v>0.17</v>
      </c>
      <c r="X308" s="4">
        <v>7.55</v>
      </c>
      <c r="Y308" s="4">
        <v>11.61</v>
      </c>
      <c r="Z308" s="4">
        <v>2.2999999999999998</v>
      </c>
      <c r="AB308" s="4">
        <v>0.09</v>
      </c>
      <c r="AD308" s="23">
        <f>SUM(R308:AB308)+AC308</f>
        <v>100.00000000000001</v>
      </c>
      <c r="AE308" s="21">
        <f>V308+0.899*U308</f>
        <v>10.74305</v>
      </c>
      <c r="AF308" s="23">
        <f>(X308/40.3)/((X308/40.3)+(AE308/71.844))</f>
        <v>0.55612106627154434</v>
      </c>
      <c r="AG308" s="45"/>
      <c r="AH308" s="16">
        <f t="shared" si="282"/>
        <v>48.349999999999994</v>
      </c>
      <c r="AI308" s="16">
        <f t="shared" si="282"/>
        <v>1.5599999999999998</v>
      </c>
      <c r="AJ308" s="16">
        <f t="shared" si="282"/>
        <v>16.420000000000002</v>
      </c>
      <c r="AK308" s="16">
        <f t="shared" si="282"/>
        <v>11.949999999999998</v>
      </c>
      <c r="AL308" s="16">
        <f t="shared" si="282"/>
        <v>0</v>
      </c>
      <c r="AM308" s="16">
        <f t="shared" si="282"/>
        <v>0.16999999999999998</v>
      </c>
      <c r="AN308" s="16">
        <f t="shared" si="282"/>
        <v>7.5499999999999989</v>
      </c>
      <c r="AO308" s="16">
        <f t="shared" si="282"/>
        <v>11.609999999999998</v>
      </c>
      <c r="AP308" s="16">
        <f t="shared" si="282"/>
        <v>2.2999999999999994</v>
      </c>
      <c r="AQ308" s="16">
        <f t="shared" si="282"/>
        <v>0</v>
      </c>
      <c r="AR308" s="16">
        <f t="shared" si="282"/>
        <v>8.9999999999999983E-2</v>
      </c>
      <c r="AS308" s="16">
        <f>SUM(AH308:AR308)</f>
        <v>100</v>
      </c>
      <c r="AT308" s="16">
        <f>AL308+0.899*AK308</f>
        <v>10.743049999999998</v>
      </c>
      <c r="AU308" s="45"/>
      <c r="AV308" s="4"/>
      <c r="AY308" s="39"/>
      <c r="BR308" s="39">
        <v>25.66</v>
      </c>
      <c r="BS308" s="39"/>
      <c r="BT308" s="39">
        <v>90.48</v>
      </c>
      <c r="BV308" s="39">
        <v>5.54</v>
      </c>
      <c r="BW308" s="39"/>
      <c r="CA308" s="39">
        <v>18.239999999999998</v>
      </c>
      <c r="CB308" s="39">
        <v>3.51</v>
      </c>
      <c r="CC308" s="39">
        <v>11.92</v>
      </c>
      <c r="CD308" s="39">
        <v>1.75</v>
      </c>
      <c r="CE308" s="39">
        <v>9.6999999999999993</v>
      </c>
      <c r="CF308" s="39">
        <v>3.01</v>
      </c>
      <c r="CG308" s="39">
        <v>1.1399999999999999</v>
      </c>
      <c r="CH308" s="39">
        <v>3.27</v>
      </c>
      <c r="CI308" s="39">
        <v>0.75</v>
      </c>
      <c r="CJ308" s="39">
        <v>4.3099999999999996</v>
      </c>
      <c r="CK308" s="39">
        <v>0.92</v>
      </c>
      <c r="CL308" s="39">
        <v>2.4900000000000002</v>
      </c>
      <c r="CM308" s="39">
        <v>0.4</v>
      </c>
      <c r="CN308" s="39">
        <v>2.25</v>
      </c>
      <c r="CO308" s="39">
        <v>0.34</v>
      </c>
      <c r="CP308" s="39">
        <v>2.3199999999999998</v>
      </c>
      <c r="CQ308" s="39">
        <v>0.3</v>
      </c>
      <c r="CR308" s="39">
        <v>0.87</v>
      </c>
      <c r="CS308" s="39">
        <v>0.37</v>
      </c>
      <c r="CT308" s="39">
        <v>0.1</v>
      </c>
    </row>
    <row r="309" spans="1:98">
      <c r="A309" s="1" t="s">
        <v>289</v>
      </c>
      <c r="B309" s="4" t="s">
        <v>290</v>
      </c>
      <c r="C309" s="1" t="s">
        <v>545</v>
      </c>
      <c r="D309" s="63">
        <v>67.22</v>
      </c>
      <c r="E309" s="63">
        <v>2.93</v>
      </c>
      <c r="F309" s="1" t="s">
        <v>308</v>
      </c>
      <c r="G309" s="1" t="s">
        <v>148</v>
      </c>
      <c r="H309" s="1" t="s">
        <v>147</v>
      </c>
      <c r="I309" s="9">
        <v>495</v>
      </c>
      <c r="J309" s="38" t="s">
        <v>256</v>
      </c>
      <c r="L309" s="4" t="s">
        <v>426</v>
      </c>
      <c r="M309" s="78" t="s">
        <v>866</v>
      </c>
      <c r="N309" s="78"/>
      <c r="Q309" s="1" t="s">
        <v>312</v>
      </c>
      <c r="R309" s="4">
        <v>48.3</v>
      </c>
      <c r="S309" s="1">
        <v>1.33</v>
      </c>
      <c r="T309" s="1">
        <v>17.04</v>
      </c>
      <c r="U309" s="1">
        <v>4.67</v>
      </c>
      <c r="V309" s="1">
        <v>5.05</v>
      </c>
      <c r="W309" s="1">
        <v>0.22</v>
      </c>
      <c r="X309" s="1">
        <v>7.83</v>
      </c>
      <c r="Y309" s="1">
        <v>11.73</v>
      </c>
      <c r="Z309" s="1">
        <v>2.15</v>
      </c>
      <c r="AA309" s="1">
        <v>0.06</v>
      </c>
      <c r="AB309" s="1">
        <v>0.11</v>
      </c>
      <c r="AC309" s="9">
        <v>1.92</v>
      </c>
      <c r="AD309" s="23">
        <f>SUM(R309:AB309)+AC309</f>
        <v>100.41</v>
      </c>
      <c r="AE309" s="21">
        <f>V309+0.899*U309</f>
        <v>9.2483299999999993</v>
      </c>
      <c r="AF309" s="23">
        <f>(X309/40.3)/((X309/40.3)+(AE309/71.844))</f>
        <v>0.60148708283631136</v>
      </c>
      <c r="AH309" s="16">
        <f t="shared" si="282"/>
        <v>49.040511727078894</v>
      </c>
      <c r="AI309" s="16">
        <f t="shared" si="282"/>
        <v>1.3503909026297087</v>
      </c>
      <c r="AJ309" s="16">
        <f t="shared" si="282"/>
        <v>17.301248857752057</v>
      </c>
      <c r="AK309" s="16">
        <f t="shared" si="282"/>
        <v>4.7415981317900293</v>
      </c>
      <c r="AL309" s="16">
        <f t="shared" si="282"/>
        <v>5.1274241039699469</v>
      </c>
      <c r="AM309" s="16">
        <f t="shared" si="282"/>
        <v>0.22337293126205707</v>
      </c>
      <c r="AN309" s="16">
        <f t="shared" si="282"/>
        <v>7.9500456899177587</v>
      </c>
      <c r="AO309" s="16">
        <f t="shared" si="282"/>
        <v>11.909838562290588</v>
      </c>
      <c r="AP309" s="16">
        <f t="shared" si="282"/>
        <v>2.1829627373337397</v>
      </c>
      <c r="AQ309" s="16">
        <f t="shared" si="282"/>
        <v>6.0919890344197383E-2</v>
      </c>
      <c r="AR309" s="16">
        <f t="shared" si="282"/>
        <v>0.11168646563102853</v>
      </c>
      <c r="AS309" s="16">
        <f>SUM(AH309:AR309)</f>
        <v>100</v>
      </c>
      <c r="AT309" s="16">
        <f>AL309+0.899*AK309</f>
        <v>9.3901208244491841</v>
      </c>
      <c r="AV309" s="1" t="s">
        <v>428</v>
      </c>
      <c r="AY309" s="41"/>
      <c r="AZ309" s="41"/>
      <c r="BA309" s="41">
        <v>308</v>
      </c>
      <c r="BB309" s="41"/>
      <c r="BC309" s="41">
        <v>193</v>
      </c>
      <c r="BD309" s="41"/>
      <c r="BE309" s="41">
        <v>41</v>
      </c>
      <c r="BF309" s="41"/>
      <c r="BG309" s="41">
        <v>107</v>
      </c>
      <c r="BH309" s="41"/>
      <c r="BI309" s="41">
        <v>188</v>
      </c>
      <c r="BJ309" s="41"/>
      <c r="BK309" s="41">
        <v>86</v>
      </c>
      <c r="BL309" s="41"/>
      <c r="BM309" s="41"/>
      <c r="BN309" s="41">
        <v>3</v>
      </c>
      <c r="BO309" s="41"/>
      <c r="BP309" s="41"/>
      <c r="BQ309" s="41">
        <v>202</v>
      </c>
      <c r="BR309" s="41"/>
      <c r="BS309" s="41">
        <v>21</v>
      </c>
      <c r="BT309" s="41"/>
      <c r="BU309" s="41">
        <v>63</v>
      </c>
      <c r="BV309" s="41"/>
      <c r="BW309" s="41">
        <v>4</v>
      </c>
      <c r="CB309" s="9">
        <v>6.9</v>
      </c>
      <c r="CC309" s="9">
        <v>17.899999999999999</v>
      </c>
      <c r="CE309" s="9">
        <v>12.5</v>
      </c>
      <c r="CF309" s="9">
        <v>4.47</v>
      </c>
      <c r="CG309" s="9">
        <v>1.55</v>
      </c>
      <c r="CI309" s="9">
        <v>0.85</v>
      </c>
      <c r="CN309" s="9">
        <v>2.87</v>
      </c>
      <c r="CO309" s="9">
        <v>0.45</v>
      </c>
      <c r="CP309" s="9">
        <v>2.92</v>
      </c>
      <c r="CQ309" s="9">
        <v>0.43</v>
      </c>
      <c r="CS309" s="9">
        <v>0.59</v>
      </c>
    </row>
    <row r="310" spans="1:98">
      <c r="A310" s="1" t="s">
        <v>289</v>
      </c>
      <c r="B310" s="4" t="s">
        <v>290</v>
      </c>
      <c r="C310" s="1" t="s">
        <v>546</v>
      </c>
      <c r="D310" s="63">
        <v>67.22</v>
      </c>
      <c r="E310" s="63">
        <v>2.93</v>
      </c>
      <c r="F310" s="1" t="s">
        <v>308</v>
      </c>
      <c r="G310" s="1" t="s">
        <v>175</v>
      </c>
      <c r="H310" s="1" t="s">
        <v>147</v>
      </c>
      <c r="I310" s="9">
        <v>504.9</v>
      </c>
      <c r="J310" s="38" t="s">
        <v>256</v>
      </c>
      <c r="L310" s="4" t="s">
        <v>426</v>
      </c>
      <c r="M310" s="78" t="s">
        <v>866</v>
      </c>
      <c r="N310" s="78"/>
      <c r="Q310" s="1" t="s">
        <v>312</v>
      </c>
      <c r="R310" s="4">
        <v>48.1</v>
      </c>
      <c r="S310" s="1">
        <v>1.37</v>
      </c>
      <c r="T310" s="1">
        <v>15.26</v>
      </c>
      <c r="U310" s="1">
        <v>4.2300000000000004</v>
      </c>
      <c r="V310" s="1">
        <v>6.73</v>
      </c>
      <c r="W310" s="1">
        <v>0.18</v>
      </c>
      <c r="X310" s="1">
        <v>7.38</v>
      </c>
      <c r="Y310" s="1">
        <v>12.6</v>
      </c>
      <c r="Z310" s="1">
        <v>2.0699999999999998</v>
      </c>
      <c r="AA310" s="1">
        <v>0.1</v>
      </c>
      <c r="AB310" s="1">
        <v>0.12</v>
      </c>
      <c r="AC310" s="9">
        <v>0.86</v>
      </c>
      <c r="AD310" s="23">
        <f>SUM(R310:AB310)+AC310</f>
        <v>99</v>
      </c>
      <c r="AE310" s="21">
        <f>V310+0.899*U310</f>
        <v>10.532770000000001</v>
      </c>
      <c r="AF310" s="23">
        <f>(X310/40.3)/((X310/40.3)+(AE310/71.844))</f>
        <v>0.55537884991921227</v>
      </c>
      <c r="AH310" s="16">
        <f t="shared" si="282"/>
        <v>49.011616058691665</v>
      </c>
      <c r="AI310" s="16">
        <f t="shared" si="282"/>
        <v>1.3959649480334215</v>
      </c>
      <c r="AJ310" s="16">
        <f t="shared" si="282"/>
        <v>15.549215406562054</v>
      </c>
      <c r="AK310" s="16">
        <f t="shared" si="282"/>
        <v>4.3101691461177918</v>
      </c>
      <c r="AL310" s="16">
        <f t="shared" si="282"/>
        <v>6.8575504381495822</v>
      </c>
      <c r="AM310" s="16">
        <f t="shared" si="282"/>
        <v>0.18341145302628897</v>
      </c>
      <c r="AN310" s="16">
        <f t="shared" si="282"/>
        <v>7.5198695740778483</v>
      </c>
      <c r="AO310" s="16">
        <f t="shared" si="282"/>
        <v>12.838801711840228</v>
      </c>
      <c r="AP310" s="16">
        <f t="shared" si="282"/>
        <v>2.109231709802323</v>
      </c>
      <c r="AQ310" s="16">
        <f t="shared" si="282"/>
        <v>0.10189525168127166</v>
      </c>
      <c r="AR310" s="16">
        <f t="shared" si="282"/>
        <v>0.12227430201752598</v>
      </c>
      <c r="AS310" s="16">
        <f>SUM(AH310:AR310)</f>
        <v>100</v>
      </c>
      <c r="AT310" s="16">
        <f>AL310+0.899*AK310</f>
        <v>10.732392500509476</v>
      </c>
      <c r="AV310" s="1" t="s">
        <v>428</v>
      </c>
      <c r="AY310" s="41">
        <v>41.9</v>
      </c>
      <c r="AZ310" s="41"/>
      <c r="BA310" s="41">
        <v>289</v>
      </c>
      <c r="BB310" s="41"/>
      <c r="BC310" s="41">
        <v>195</v>
      </c>
      <c r="BD310" s="41"/>
      <c r="BE310" s="41">
        <v>50.5</v>
      </c>
      <c r="BF310" s="41"/>
      <c r="BG310" s="41">
        <v>104</v>
      </c>
      <c r="BH310" s="41"/>
      <c r="BI310" s="41">
        <v>145</v>
      </c>
      <c r="BJ310" s="41"/>
      <c r="BK310" s="41">
        <v>82</v>
      </c>
      <c r="BL310" s="41"/>
      <c r="BM310" s="41"/>
      <c r="BN310" s="41">
        <v>4</v>
      </c>
      <c r="BO310" s="41"/>
      <c r="BP310" s="41"/>
      <c r="BQ310" s="41">
        <v>216</v>
      </c>
      <c r="BR310" s="41"/>
      <c r="BS310" s="41">
        <v>20</v>
      </c>
      <c r="BT310" s="41"/>
      <c r="BU310" s="41">
        <v>69</v>
      </c>
      <c r="BV310" s="41"/>
      <c r="BW310" s="41">
        <v>4</v>
      </c>
      <c r="CB310" s="9">
        <v>9.5</v>
      </c>
      <c r="CC310" s="9">
        <v>26.9</v>
      </c>
      <c r="CE310" s="9">
        <v>20.3</v>
      </c>
      <c r="CF310" s="9">
        <v>5.86</v>
      </c>
      <c r="CG310" s="9">
        <v>2.09</v>
      </c>
      <c r="CI310" s="9">
        <v>1.22</v>
      </c>
      <c r="CN310" s="9">
        <v>3.9</v>
      </c>
      <c r="CO310" s="9">
        <v>0.56000000000000005</v>
      </c>
      <c r="CP310" s="9">
        <v>4.22</v>
      </c>
      <c r="CQ310" s="9">
        <v>0.71</v>
      </c>
      <c r="CS310" s="9">
        <v>1.0900000000000001</v>
      </c>
    </row>
    <row r="311" spans="1:98">
      <c r="A311" s="1" t="s">
        <v>289</v>
      </c>
      <c r="B311" s="4" t="s">
        <v>290</v>
      </c>
      <c r="C311" s="40" t="s">
        <v>668</v>
      </c>
      <c r="D311" s="63">
        <v>67.22</v>
      </c>
      <c r="E311" s="63">
        <v>2.93</v>
      </c>
      <c r="F311" s="1" t="s">
        <v>308</v>
      </c>
      <c r="G311" s="4"/>
      <c r="H311" s="4"/>
      <c r="J311" s="38" t="s">
        <v>256</v>
      </c>
      <c r="K311" s="40"/>
      <c r="L311" s="4" t="s">
        <v>423</v>
      </c>
      <c r="M311" s="78" t="s">
        <v>867</v>
      </c>
      <c r="N311" s="78"/>
      <c r="O311" s="4"/>
      <c r="P311" s="4"/>
      <c r="Q311" s="4"/>
      <c r="AD311" s="23"/>
      <c r="AE311" s="23"/>
      <c r="AF311" s="23"/>
      <c r="AG311" s="45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45"/>
      <c r="AV311" s="4"/>
      <c r="AY311" s="39">
        <v>31.02</v>
      </c>
      <c r="BR311" s="39">
        <v>20.91</v>
      </c>
      <c r="BS311" s="39"/>
      <c r="BT311" s="39">
        <v>61.64</v>
      </c>
      <c r="BV311" s="39">
        <v>4.62</v>
      </c>
      <c r="BW311" s="39"/>
      <c r="CA311" s="39">
        <v>25</v>
      </c>
      <c r="CB311" s="39">
        <v>3.7</v>
      </c>
      <c r="CC311" s="39">
        <v>10.96</v>
      </c>
      <c r="CD311" s="39">
        <v>1.63</v>
      </c>
      <c r="CE311" s="39">
        <v>8.67</v>
      </c>
      <c r="CF311" s="39">
        <v>2.73</v>
      </c>
      <c r="CG311" s="39">
        <v>1.04</v>
      </c>
      <c r="CH311" s="39">
        <v>3.33</v>
      </c>
      <c r="CI311" s="39">
        <v>0.6</v>
      </c>
      <c r="CJ311" s="39">
        <v>3.72</v>
      </c>
      <c r="CK311" s="39">
        <v>0.77</v>
      </c>
      <c r="CL311" s="39">
        <v>2.16</v>
      </c>
      <c r="CM311" s="39">
        <v>0.33</v>
      </c>
      <c r="CN311" s="39">
        <v>1.94</v>
      </c>
      <c r="CO311" s="39">
        <v>0.28999999999999998</v>
      </c>
      <c r="CP311" s="39">
        <v>1.75</v>
      </c>
      <c r="CQ311" s="39">
        <v>0.27</v>
      </c>
      <c r="CR311" s="39"/>
      <c r="CS311" s="39">
        <v>0.24</v>
      </c>
      <c r="CT311" s="39">
        <v>0.05</v>
      </c>
    </row>
    <row r="312" spans="1:98">
      <c r="A312" s="1" t="s">
        <v>289</v>
      </c>
      <c r="B312" s="4" t="s">
        <v>290</v>
      </c>
      <c r="C312" s="1" t="s">
        <v>547</v>
      </c>
      <c r="D312" s="63">
        <v>67.22</v>
      </c>
      <c r="E312" s="63">
        <v>2.93</v>
      </c>
      <c r="F312" s="1" t="s">
        <v>308</v>
      </c>
      <c r="G312" s="1" t="s">
        <v>206</v>
      </c>
      <c r="H312" s="1" t="s">
        <v>147</v>
      </c>
      <c r="I312" s="9">
        <v>514.9</v>
      </c>
      <c r="J312" s="38" t="s">
        <v>256</v>
      </c>
      <c r="L312" s="4" t="s">
        <v>426</v>
      </c>
      <c r="M312" s="78" t="s">
        <v>866</v>
      </c>
      <c r="N312" s="78"/>
      <c r="Q312" s="1" t="s">
        <v>312</v>
      </c>
      <c r="R312" s="4">
        <v>47.6</v>
      </c>
      <c r="S312" s="1">
        <v>1.88</v>
      </c>
      <c r="T312" s="1">
        <v>16.239999999999998</v>
      </c>
      <c r="U312" s="1">
        <v>7.29</v>
      </c>
      <c r="V312" s="1">
        <v>5.0199999999999996</v>
      </c>
      <c r="W312" s="1">
        <v>0.18</v>
      </c>
      <c r="X312" s="1">
        <v>7.33</v>
      </c>
      <c r="Y312" s="1">
        <v>8.73</v>
      </c>
      <c r="Z312" s="1">
        <v>2.58</v>
      </c>
      <c r="AA312" s="1">
        <v>0.22</v>
      </c>
      <c r="AB312" s="1">
        <v>0.17</v>
      </c>
      <c r="AC312" s="9">
        <v>2.35</v>
      </c>
      <c r="AD312" s="23">
        <f>SUM(R312:AB312)+AC312</f>
        <v>99.59</v>
      </c>
      <c r="AE312" s="21">
        <f>V312+0.899*U312</f>
        <v>11.57371</v>
      </c>
      <c r="AF312" s="23">
        <f>(X312/40.3)/((X312/40.3)+(AE312/71.844))</f>
        <v>0.53030904437579018</v>
      </c>
      <c r="AH312" s="16">
        <f t="shared" ref="AH312:AR312" si="283">100*R312/SUM($R312:$AB312)</f>
        <v>48.951048951048946</v>
      </c>
      <c r="AI312" s="16">
        <f t="shared" si="283"/>
        <v>1.9333607568901685</v>
      </c>
      <c r="AJ312" s="16">
        <f t="shared" si="283"/>
        <v>16.700946112710813</v>
      </c>
      <c r="AK312" s="16">
        <f t="shared" si="283"/>
        <v>7.4969148498560259</v>
      </c>
      <c r="AL312" s="16">
        <f t="shared" si="283"/>
        <v>5.1624845742492793</v>
      </c>
      <c r="AM312" s="16">
        <f t="shared" si="283"/>
        <v>0.18510900863842039</v>
      </c>
      <c r="AN312" s="16">
        <f t="shared" si="283"/>
        <v>7.5380501851090083</v>
      </c>
      <c r="AO312" s="16">
        <f t="shared" si="283"/>
        <v>8.977786918963389</v>
      </c>
      <c r="AP312" s="16">
        <f t="shared" si="283"/>
        <v>2.6532291238173586</v>
      </c>
      <c r="AQ312" s="16">
        <f t="shared" si="283"/>
        <v>0.22624434389140269</v>
      </c>
      <c r="AR312" s="16">
        <f t="shared" si="283"/>
        <v>0.17482517482517482</v>
      </c>
      <c r="AS312" s="16">
        <f>SUM(AH312:AR312)</f>
        <v>99.999999999999986</v>
      </c>
      <c r="AT312" s="16">
        <f>AL312+0.899*AK312</f>
        <v>11.902211024269846</v>
      </c>
      <c r="AV312" s="1" t="s">
        <v>428</v>
      </c>
      <c r="AY312" s="41">
        <v>47.3</v>
      </c>
      <c r="AZ312" s="41"/>
      <c r="BA312" s="41">
        <v>396</v>
      </c>
      <c r="BB312" s="41"/>
      <c r="BC312" s="41">
        <v>93</v>
      </c>
      <c r="BD312" s="41"/>
      <c r="BE312" s="41">
        <v>55.6</v>
      </c>
      <c r="BF312" s="41"/>
      <c r="BG312" s="41">
        <v>75</v>
      </c>
      <c r="BH312" s="41"/>
      <c r="BI312" s="41">
        <v>70</v>
      </c>
      <c r="BJ312" s="41"/>
      <c r="BK312" s="41">
        <v>126</v>
      </c>
      <c r="BL312" s="41"/>
      <c r="BM312" s="41"/>
      <c r="BN312" s="41">
        <v>2</v>
      </c>
      <c r="BO312" s="41"/>
      <c r="BP312" s="41"/>
      <c r="BQ312" s="41">
        <v>202</v>
      </c>
      <c r="BR312" s="41"/>
      <c r="BS312" s="41">
        <v>23</v>
      </c>
      <c r="BT312" s="41"/>
      <c r="BU312" s="41">
        <v>91</v>
      </c>
      <c r="BV312" s="41"/>
      <c r="BW312" s="41">
        <v>5</v>
      </c>
      <c r="CB312" s="9">
        <v>6.5</v>
      </c>
      <c r="CC312" s="9">
        <v>17.3</v>
      </c>
      <c r="CE312" s="9">
        <v>12.8</v>
      </c>
      <c r="CF312" s="9">
        <v>3.75</v>
      </c>
      <c r="CG312" s="9">
        <v>1.33</v>
      </c>
      <c r="CI312" s="9">
        <v>0.77</v>
      </c>
      <c r="CN312" s="9">
        <v>2.46</v>
      </c>
      <c r="CO312" s="9">
        <v>0.35</v>
      </c>
      <c r="CP312" s="9">
        <v>2.62</v>
      </c>
      <c r="CQ312" s="9">
        <v>0.51</v>
      </c>
      <c r="CS312" s="9">
        <v>0.94</v>
      </c>
      <c r="CT312" s="9">
        <v>0.19</v>
      </c>
    </row>
    <row r="313" spans="1:98">
      <c r="A313" s="1" t="s">
        <v>289</v>
      </c>
      <c r="B313" s="4" t="s">
        <v>290</v>
      </c>
      <c r="C313" s="40" t="s">
        <v>669</v>
      </c>
      <c r="D313" s="63">
        <v>67.22</v>
      </c>
      <c r="E313" s="63">
        <v>2.93</v>
      </c>
      <c r="F313" s="1" t="s">
        <v>308</v>
      </c>
      <c r="G313" s="4"/>
      <c r="H313" s="4"/>
      <c r="J313" s="38" t="s">
        <v>256</v>
      </c>
      <c r="K313" s="40"/>
      <c r="L313" s="4" t="s">
        <v>423</v>
      </c>
      <c r="M313" s="78" t="s">
        <v>867</v>
      </c>
      <c r="N313" s="78"/>
      <c r="O313" s="4"/>
      <c r="P313" s="4"/>
      <c r="Q313" s="4"/>
      <c r="AD313" s="23"/>
      <c r="AE313" s="23"/>
      <c r="AF313" s="23"/>
      <c r="AG313" s="45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45"/>
      <c r="AV313" s="4"/>
      <c r="AY313" s="39">
        <v>34.65</v>
      </c>
      <c r="BR313" s="39">
        <v>47.55</v>
      </c>
      <c r="BS313" s="39"/>
      <c r="BT313" s="39">
        <v>242.08</v>
      </c>
      <c r="BV313" s="39">
        <v>20.86</v>
      </c>
      <c r="BW313" s="39"/>
      <c r="CA313" s="39">
        <v>84.02</v>
      </c>
      <c r="CB313" s="39">
        <v>12.61</v>
      </c>
      <c r="CC313" s="39">
        <v>33.78</v>
      </c>
      <c r="CD313" s="39">
        <v>5.24</v>
      </c>
      <c r="CE313" s="39">
        <v>23.23</v>
      </c>
      <c r="CF313" s="39">
        <v>6.21</v>
      </c>
      <c r="CG313" s="39">
        <v>2.04</v>
      </c>
      <c r="CH313" s="39">
        <v>7.1</v>
      </c>
      <c r="CI313" s="39">
        <v>1.26</v>
      </c>
      <c r="CJ313" s="39">
        <v>7.06</v>
      </c>
      <c r="CK313" s="39">
        <v>1.51</v>
      </c>
      <c r="CL313" s="39">
        <v>4.12</v>
      </c>
      <c r="CM313" s="39">
        <v>0.63</v>
      </c>
      <c r="CN313" s="39">
        <v>3.67</v>
      </c>
      <c r="CO313" s="39">
        <v>0.55000000000000004</v>
      </c>
      <c r="CP313" s="39">
        <v>5.83</v>
      </c>
      <c r="CQ313" s="39">
        <v>1.36</v>
      </c>
      <c r="CR313" s="39">
        <v>7.99</v>
      </c>
      <c r="CS313" s="39">
        <v>1.1200000000000001</v>
      </c>
      <c r="CT313" s="39">
        <v>0.28000000000000003</v>
      </c>
    </row>
    <row r="314" spans="1:98">
      <c r="A314" s="1" t="s">
        <v>289</v>
      </c>
      <c r="B314" s="4" t="s">
        <v>290</v>
      </c>
      <c r="C314" s="1" t="s">
        <v>550</v>
      </c>
      <c r="D314" s="63">
        <v>67.22</v>
      </c>
      <c r="E314" s="63">
        <v>2.93</v>
      </c>
      <c r="F314" s="1" t="s">
        <v>308</v>
      </c>
      <c r="G314" s="1" t="s">
        <v>205</v>
      </c>
      <c r="H314" s="1" t="s">
        <v>139</v>
      </c>
      <c r="I314" s="9">
        <v>526.5</v>
      </c>
      <c r="J314" s="38" t="s">
        <v>256</v>
      </c>
      <c r="L314" s="4" t="s">
        <v>426</v>
      </c>
      <c r="M314" s="78" t="s">
        <v>866</v>
      </c>
      <c r="N314" s="78"/>
      <c r="Q314" s="1" t="s">
        <v>312</v>
      </c>
      <c r="R314" s="4">
        <v>48.5</v>
      </c>
      <c r="S314" s="1">
        <v>1.97</v>
      </c>
      <c r="T314" s="1">
        <v>14.9</v>
      </c>
      <c r="U314" s="1">
        <v>5.75</v>
      </c>
      <c r="V314" s="1">
        <v>5.92</v>
      </c>
      <c r="W314" s="1">
        <v>0.17</v>
      </c>
      <c r="X314" s="1">
        <v>7.4</v>
      </c>
      <c r="Y314" s="1">
        <v>10.44</v>
      </c>
      <c r="Z314" s="1">
        <v>2.52</v>
      </c>
      <c r="AA314" s="1">
        <v>0.23</v>
      </c>
      <c r="AB314" s="1">
        <v>0.18</v>
      </c>
      <c r="AC314" s="9">
        <v>1.47</v>
      </c>
      <c r="AD314" s="23">
        <f t="shared" ref="AD314:AD319" si="284">SUM(R314:AB314)+AC314</f>
        <v>99.450000000000017</v>
      </c>
      <c r="AE314" s="21">
        <f t="shared" ref="AE314:AE319" si="285">V314+0.899*U314</f>
        <v>11.08925</v>
      </c>
      <c r="AF314" s="23">
        <f t="shared" ref="AF314:AF319" si="286">(X314/40.3)/((X314/40.3)+(AE314/71.844))</f>
        <v>0.54330360501761621</v>
      </c>
      <c r="AH314" s="16">
        <f t="shared" ref="AH314:AR319" si="287">100*R314/SUM($R314:$AB314)</f>
        <v>49.499897938354756</v>
      </c>
      <c r="AI314" s="16">
        <f t="shared" si="287"/>
        <v>2.0106144111043065</v>
      </c>
      <c r="AJ314" s="16">
        <f t="shared" si="287"/>
        <v>15.207185139824452</v>
      </c>
      <c r="AK314" s="16">
        <f t="shared" si="287"/>
        <v>5.8685446009389661</v>
      </c>
      <c r="AL314" s="16">
        <f t="shared" si="287"/>
        <v>6.0420493978362924</v>
      </c>
      <c r="AM314" s="16">
        <f t="shared" si="287"/>
        <v>0.17350479689732595</v>
      </c>
      <c r="AN314" s="16">
        <f t="shared" si="287"/>
        <v>7.552561747295365</v>
      </c>
      <c r="AO314" s="16">
        <f t="shared" si="287"/>
        <v>10.655235762400489</v>
      </c>
      <c r="AP314" s="16">
        <f t="shared" si="287"/>
        <v>2.5719534598897731</v>
      </c>
      <c r="AQ314" s="16">
        <f t="shared" si="287"/>
        <v>0.23474178403755863</v>
      </c>
      <c r="AR314" s="16">
        <f t="shared" si="287"/>
        <v>0.18371096142069807</v>
      </c>
      <c r="AS314" s="16">
        <f t="shared" ref="AS314:AS319" si="288">SUM(AH314:AR314)</f>
        <v>99.999999999999972</v>
      </c>
      <c r="AT314" s="16">
        <f t="shared" ref="AT314:AT319" si="289">AL314+0.899*AK314</f>
        <v>11.317870994080423</v>
      </c>
      <c r="AV314" s="1" t="s">
        <v>428</v>
      </c>
      <c r="AY314" s="41"/>
      <c r="AZ314" s="41"/>
      <c r="BA314" s="41">
        <v>363</v>
      </c>
      <c r="BB314" s="41"/>
      <c r="BC314" s="41">
        <v>183</v>
      </c>
      <c r="BD314" s="41"/>
      <c r="BE314" s="41">
        <v>48</v>
      </c>
      <c r="BF314" s="41"/>
      <c r="BG314" s="41">
        <v>86</v>
      </c>
      <c r="BH314" s="41"/>
      <c r="BI314" s="41">
        <v>171</v>
      </c>
      <c r="BJ314" s="41"/>
      <c r="BK314" s="41">
        <v>94</v>
      </c>
      <c r="BL314" s="41"/>
      <c r="BM314" s="41"/>
      <c r="BN314" s="41">
        <v>7</v>
      </c>
      <c r="BO314" s="41"/>
      <c r="BP314" s="41"/>
      <c r="BQ314" s="41">
        <v>214</v>
      </c>
      <c r="BR314" s="41"/>
      <c r="BS314" s="41">
        <v>32</v>
      </c>
      <c r="BT314" s="41"/>
      <c r="BU314" s="41">
        <v>110</v>
      </c>
      <c r="BV314" s="41"/>
      <c r="BW314" s="41">
        <v>8</v>
      </c>
      <c r="CB314" s="9">
        <v>4.8</v>
      </c>
      <c r="CC314" s="9">
        <v>13.6</v>
      </c>
      <c r="CE314" s="9">
        <v>10.199999999999999</v>
      </c>
      <c r="CF314" s="9">
        <v>3.28</v>
      </c>
      <c r="CG314" s="9">
        <v>1.38</v>
      </c>
      <c r="CI314" s="9">
        <v>0.73</v>
      </c>
      <c r="CN314" s="9">
        <v>2.0299999999999998</v>
      </c>
      <c r="CO314" s="9">
        <v>0.26</v>
      </c>
      <c r="CP314" s="9">
        <v>2.46</v>
      </c>
      <c r="CQ314" s="9">
        <v>0.35</v>
      </c>
      <c r="CS314" s="9">
        <v>0.41</v>
      </c>
    </row>
    <row r="315" spans="1:98">
      <c r="A315" s="1" t="s">
        <v>289</v>
      </c>
      <c r="B315" s="4" t="s">
        <v>290</v>
      </c>
      <c r="C315" s="1" t="s">
        <v>548</v>
      </c>
      <c r="D315" s="63">
        <v>67.22</v>
      </c>
      <c r="E315" s="63">
        <v>2.93</v>
      </c>
      <c r="F315" s="1" t="s">
        <v>308</v>
      </c>
      <c r="G315" s="1" t="s">
        <v>237</v>
      </c>
      <c r="H315" s="1" t="s">
        <v>139</v>
      </c>
      <c r="I315" s="9">
        <v>523.20000000000005</v>
      </c>
      <c r="J315" s="38" t="s">
        <v>256</v>
      </c>
      <c r="L315" s="4" t="s">
        <v>426</v>
      </c>
      <c r="M315" s="78" t="s">
        <v>866</v>
      </c>
      <c r="N315" s="78"/>
      <c r="Q315" s="1" t="s">
        <v>312</v>
      </c>
      <c r="R315" s="4">
        <v>50</v>
      </c>
      <c r="S315" s="1">
        <v>2.2599999999999998</v>
      </c>
      <c r="T315" s="1">
        <v>15.86</v>
      </c>
      <c r="U315" s="1">
        <v>7.79</v>
      </c>
      <c r="V315" s="1">
        <v>3.7</v>
      </c>
      <c r="W315" s="1">
        <v>0.27</v>
      </c>
      <c r="X315" s="1">
        <v>6.7</v>
      </c>
      <c r="Y315" s="1">
        <v>7.05</v>
      </c>
      <c r="Z315" s="1">
        <v>3.11</v>
      </c>
      <c r="AA315" s="1">
        <v>0.88</v>
      </c>
      <c r="AB315" s="1">
        <v>0.24</v>
      </c>
      <c r="AC315" s="9">
        <v>3.12</v>
      </c>
      <c r="AD315" s="23">
        <f t="shared" si="284"/>
        <v>100.98</v>
      </c>
      <c r="AE315" s="21">
        <f t="shared" si="285"/>
        <v>10.70321</v>
      </c>
      <c r="AF315" s="23">
        <f t="shared" si="286"/>
        <v>0.52739988871825405</v>
      </c>
      <c r="AH315" s="16">
        <f t="shared" si="287"/>
        <v>51.093398732883713</v>
      </c>
      <c r="AI315" s="16">
        <f t="shared" si="287"/>
        <v>2.3094216227263433</v>
      </c>
      <c r="AJ315" s="16">
        <f t="shared" si="287"/>
        <v>16.206826078070712</v>
      </c>
      <c r="AK315" s="16">
        <f t="shared" si="287"/>
        <v>7.9603515225832826</v>
      </c>
      <c r="AL315" s="16">
        <f t="shared" si="287"/>
        <v>3.7809115062333944</v>
      </c>
      <c r="AM315" s="16">
        <f t="shared" si="287"/>
        <v>0.27590435315757206</v>
      </c>
      <c r="AN315" s="16">
        <f t="shared" si="287"/>
        <v>6.8465154302064173</v>
      </c>
      <c r="AO315" s="16">
        <f t="shared" si="287"/>
        <v>7.2041692213366035</v>
      </c>
      <c r="AP315" s="16">
        <f t="shared" si="287"/>
        <v>3.178009401185367</v>
      </c>
      <c r="AQ315" s="16">
        <f t="shared" si="287"/>
        <v>0.89924381769875328</v>
      </c>
      <c r="AR315" s="16">
        <f t="shared" si="287"/>
        <v>0.24524831391784183</v>
      </c>
      <c r="AS315" s="16">
        <f t="shared" si="288"/>
        <v>99.999999999999986</v>
      </c>
      <c r="AT315" s="16">
        <f t="shared" si="289"/>
        <v>10.937267525035764</v>
      </c>
      <c r="AV315" s="1" t="s">
        <v>428</v>
      </c>
      <c r="AY315" s="41"/>
      <c r="AZ315" s="41"/>
      <c r="BA315" s="41">
        <v>399</v>
      </c>
      <c r="BB315" s="41"/>
      <c r="BC315" s="41">
        <v>186</v>
      </c>
      <c r="BD315" s="41"/>
      <c r="BE315" s="41">
        <v>45</v>
      </c>
      <c r="BF315" s="41"/>
      <c r="BG315" s="41">
        <v>97</v>
      </c>
      <c r="BH315" s="41"/>
      <c r="BI315" s="41">
        <v>109</v>
      </c>
      <c r="BJ315" s="41"/>
      <c r="BK315" s="41">
        <v>168</v>
      </c>
      <c r="BL315" s="41"/>
      <c r="BM315" s="41"/>
      <c r="BN315" s="41">
        <v>22</v>
      </c>
      <c r="BO315" s="41"/>
      <c r="BP315" s="41"/>
      <c r="BQ315" s="41">
        <v>222</v>
      </c>
      <c r="BR315" s="41"/>
      <c r="BS315" s="41">
        <v>38</v>
      </c>
      <c r="BT315" s="41"/>
      <c r="BU315" s="41">
        <v>124</v>
      </c>
      <c r="BV315" s="41"/>
      <c r="BW315" s="41">
        <v>6</v>
      </c>
    </row>
    <row r="316" spans="1:98">
      <c r="A316" s="1" t="s">
        <v>289</v>
      </c>
      <c r="B316" s="4" t="s">
        <v>290</v>
      </c>
      <c r="C316" s="1" t="s">
        <v>549</v>
      </c>
      <c r="D316" s="63">
        <v>67.22</v>
      </c>
      <c r="E316" s="63">
        <v>2.93</v>
      </c>
      <c r="F316" s="1" t="s">
        <v>308</v>
      </c>
      <c r="G316" s="1" t="s">
        <v>209</v>
      </c>
      <c r="H316" s="1" t="s">
        <v>139</v>
      </c>
      <c r="I316" s="9">
        <v>524.5</v>
      </c>
      <c r="J316" s="38" t="s">
        <v>256</v>
      </c>
      <c r="L316" s="4" t="s">
        <v>426</v>
      </c>
      <c r="M316" s="78" t="s">
        <v>866</v>
      </c>
      <c r="N316" s="78"/>
      <c r="Q316" s="1" t="s">
        <v>312</v>
      </c>
      <c r="R316" s="4">
        <v>47.5</v>
      </c>
      <c r="S316" s="1">
        <v>2.1800000000000002</v>
      </c>
      <c r="T316" s="1">
        <v>15.49</v>
      </c>
      <c r="U316" s="1">
        <v>6.15</v>
      </c>
      <c r="V316" s="1">
        <v>4.33</v>
      </c>
      <c r="W316" s="1">
        <v>0.34</v>
      </c>
      <c r="X316" s="1">
        <v>7.81</v>
      </c>
      <c r="Y316" s="1">
        <v>8.25</v>
      </c>
      <c r="Z316" s="1">
        <v>2.91</v>
      </c>
      <c r="AA316" s="1">
        <v>0.31</v>
      </c>
      <c r="AB316" s="1">
        <v>0.23</v>
      </c>
      <c r="AC316" s="9">
        <v>3.08</v>
      </c>
      <c r="AD316" s="23">
        <f t="shared" si="284"/>
        <v>98.580000000000013</v>
      </c>
      <c r="AE316" s="21">
        <f t="shared" si="285"/>
        <v>9.8588500000000003</v>
      </c>
      <c r="AF316" s="23">
        <f t="shared" si="286"/>
        <v>0.58544851467236791</v>
      </c>
      <c r="AH316" s="16">
        <f t="shared" si="287"/>
        <v>49.738219895287948</v>
      </c>
      <c r="AI316" s="16">
        <f t="shared" si="287"/>
        <v>2.2827225130890052</v>
      </c>
      <c r="AJ316" s="16">
        <f t="shared" si="287"/>
        <v>16.219895287958114</v>
      </c>
      <c r="AK316" s="16">
        <f t="shared" si="287"/>
        <v>6.4397905759162297</v>
      </c>
      <c r="AL316" s="16">
        <f t="shared" si="287"/>
        <v>4.5340314136125643</v>
      </c>
      <c r="AM316" s="16">
        <f t="shared" si="287"/>
        <v>0.35602094240837689</v>
      </c>
      <c r="AN316" s="16">
        <f t="shared" si="287"/>
        <v>8.1780104712041872</v>
      </c>
      <c r="AO316" s="16">
        <f t="shared" si="287"/>
        <v>8.6387434554973801</v>
      </c>
      <c r="AP316" s="16">
        <f t="shared" si="287"/>
        <v>3.0471204188481669</v>
      </c>
      <c r="AQ316" s="16">
        <f t="shared" si="287"/>
        <v>0.32460732984293189</v>
      </c>
      <c r="AR316" s="16">
        <f t="shared" si="287"/>
        <v>0.24083769633507851</v>
      </c>
      <c r="AS316" s="16">
        <f t="shared" si="288"/>
        <v>99.999999999999986</v>
      </c>
      <c r="AT316" s="16">
        <f t="shared" si="289"/>
        <v>10.323403141361254</v>
      </c>
      <c r="AV316" s="1" t="s">
        <v>428</v>
      </c>
      <c r="AY316" s="41"/>
      <c r="AZ316" s="41"/>
      <c r="BA316" s="41">
        <v>375</v>
      </c>
      <c r="BB316" s="41"/>
      <c r="BC316" s="41">
        <v>191</v>
      </c>
      <c r="BD316" s="41"/>
      <c r="BE316" s="41">
        <v>39</v>
      </c>
      <c r="BF316" s="41"/>
      <c r="BG316" s="41">
        <v>91</v>
      </c>
      <c r="BH316" s="41"/>
      <c r="BI316" s="41">
        <v>252</v>
      </c>
      <c r="BJ316" s="41"/>
      <c r="BK316" s="41">
        <v>173</v>
      </c>
      <c r="BL316" s="41"/>
      <c r="BM316" s="41"/>
      <c r="BN316" s="41">
        <v>4</v>
      </c>
      <c r="BO316" s="41"/>
      <c r="BP316" s="41"/>
      <c r="BQ316" s="41">
        <v>200</v>
      </c>
      <c r="BR316" s="41"/>
      <c r="BS316" s="41">
        <v>39</v>
      </c>
      <c r="BT316" s="41"/>
      <c r="BU316" s="41">
        <v>127</v>
      </c>
      <c r="BV316" s="41"/>
      <c r="BW316" s="41">
        <v>5</v>
      </c>
    </row>
    <row r="317" spans="1:98">
      <c r="A317" s="1" t="s">
        <v>289</v>
      </c>
      <c r="B317" s="4" t="s">
        <v>290</v>
      </c>
      <c r="C317" s="1" t="s">
        <v>552</v>
      </c>
      <c r="D317" s="63">
        <v>67.22</v>
      </c>
      <c r="E317" s="63">
        <v>2.93</v>
      </c>
      <c r="F317" s="1" t="s">
        <v>308</v>
      </c>
      <c r="G317" s="1" t="s">
        <v>231</v>
      </c>
      <c r="H317" s="1" t="s">
        <v>139</v>
      </c>
      <c r="I317" s="9">
        <v>530.20000000000005</v>
      </c>
      <c r="J317" s="38" t="s">
        <v>256</v>
      </c>
      <c r="L317" s="4" t="s">
        <v>426</v>
      </c>
      <c r="M317" s="78" t="s">
        <v>866</v>
      </c>
      <c r="N317" s="78"/>
      <c r="Q317" s="1" t="s">
        <v>312</v>
      </c>
      <c r="R317" s="4">
        <v>48.6</v>
      </c>
      <c r="S317" s="1">
        <v>2.23</v>
      </c>
      <c r="T317" s="1">
        <v>14.21</v>
      </c>
      <c r="U317" s="1">
        <v>9.09</v>
      </c>
      <c r="V317" s="1">
        <v>4.55</v>
      </c>
      <c r="W317" s="1">
        <v>0.08</v>
      </c>
      <c r="X317" s="1">
        <v>7.91</v>
      </c>
      <c r="Y317" s="1">
        <v>6.89</v>
      </c>
      <c r="Z317" s="1">
        <v>2.95</v>
      </c>
      <c r="AA317" s="1">
        <v>0.75</v>
      </c>
      <c r="AB317" s="1">
        <v>0.23</v>
      </c>
      <c r="AC317" s="9">
        <v>2.57</v>
      </c>
      <c r="AD317" s="23">
        <f t="shared" si="284"/>
        <v>100.05999999999999</v>
      </c>
      <c r="AE317" s="21">
        <f t="shared" si="285"/>
        <v>12.721910000000001</v>
      </c>
      <c r="AF317" s="23">
        <f t="shared" si="286"/>
        <v>0.52571422124362732</v>
      </c>
      <c r="AH317" s="16">
        <f t="shared" si="287"/>
        <v>49.851266796594523</v>
      </c>
      <c r="AI317" s="16">
        <f t="shared" si="287"/>
        <v>2.2874140937532057</v>
      </c>
      <c r="AJ317" s="16">
        <f t="shared" si="287"/>
        <v>14.575853933736795</v>
      </c>
      <c r="AK317" s="16">
        <f t="shared" si="287"/>
        <v>9.3240332341778647</v>
      </c>
      <c r="AL317" s="16">
        <f t="shared" si="287"/>
        <v>4.6671453482408456</v>
      </c>
      <c r="AM317" s="16">
        <f t="shared" si="287"/>
        <v>8.2059698430608272E-2</v>
      </c>
      <c r="AN317" s="16">
        <f t="shared" si="287"/>
        <v>8.1136526823263928</v>
      </c>
      <c r="AO317" s="16">
        <f t="shared" si="287"/>
        <v>7.0673915273361372</v>
      </c>
      <c r="AP317" s="16">
        <f t="shared" si="287"/>
        <v>3.0259513796286801</v>
      </c>
      <c r="AQ317" s="16">
        <f t="shared" si="287"/>
        <v>0.7693096727869525</v>
      </c>
      <c r="AR317" s="16">
        <f t="shared" si="287"/>
        <v>0.23592163298799879</v>
      </c>
      <c r="AS317" s="16">
        <f t="shared" si="288"/>
        <v>100</v>
      </c>
      <c r="AT317" s="16">
        <f t="shared" si="289"/>
        <v>13.049451225766747</v>
      </c>
      <c r="AV317" s="1" t="s">
        <v>428</v>
      </c>
      <c r="AY317" s="41"/>
      <c r="AZ317" s="41"/>
      <c r="BA317" s="41">
        <v>373</v>
      </c>
      <c r="BB317" s="41"/>
      <c r="BC317" s="41">
        <v>168</v>
      </c>
      <c r="BD317" s="41"/>
      <c r="BE317" s="41">
        <v>39</v>
      </c>
      <c r="BF317" s="41"/>
      <c r="BG317" s="41">
        <v>77</v>
      </c>
      <c r="BH317" s="41"/>
      <c r="BI317" s="41">
        <v>508</v>
      </c>
      <c r="BJ317" s="41"/>
      <c r="BK317" s="41">
        <v>99</v>
      </c>
      <c r="BL317" s="41"/>
      <c r="BM317" s="41"/>
      <c r="BN317" s="41">
        <v>19</v>
      </c>
      <c r="BO317" s="41"/>
      <c r="BP317" s="41"/>
      <c r="BQ317" s="41">
        <v>232</v>
      </c>
      <c r="BR317" s="41"/>
      <c r="BS317" s="41">
        <v>37</v>
      </c>
      <c r="BT317" s="41"/>
      <c r="BU317" s="41">
        <v>131</v>
      </c>
      <c r="BV317" s="41"/>
      <c r="BW317" s="41">
        <v>7</v>
      </c>
    </row>
    <row r="318" spans="1:98">
      <c r="A318" s="1" t="s">
        <v>289</v>
      </c>
      <c r="B318" s="4" t="s">
        <v>290</v>
      </c>
      <c r="C318" s="1" t="s">
        <v>551</v>
      </c>
      <c r="D318" s="63">
        <v>67.22</v>
      </c>
      <c r="E318" s="63">
        <v>2.93</v>
      </c>
      <c r="F318" s="1" t="s">
        <v>308</v>
      </c>
      <c r="G318" s="1" t="s">
        <v>221</v>
      </c>
      <c r="H318" s="1" t="s">
        <v>139</v>
      </c>
      <c r="I318" s="9">
        <v>527</v>
      </c>
      <c r="J318" s="38" t="s">
        <v>256</v>
      </c>
      <c r="L318" s="4" t="s">
        <v>426</v>
      </c>
      <c r="M318" s="78" t="s">
        <v>866</v>
      </c>
      <c r="N318" s="78"/>
      <c r="Q318" s="1" t="s">
        <v>312</v>
      </c>
      <c r="R318" s="4">
        <v>47.6</v>
      </c>
      <c r="S318" s="1">
        <v>2.1</v>
      </c>
      <c r="T318" s="1">
        <v>13.65</v>
      </c>
      <c r="U318" s="1">
        <v>8.7100000000000009</v>
      </c>
      <c r="V318" s="1">
        <v>4.8</v>
      </c>
      <c r="W318" s="1">
        <v>0.12</v>
      </c>
      <c r="X318" s="1">
        <v>7.59</v>
      </c>
      <c r="Y318" s="1">
        <v>7.68</v>
      </c>
      <c r="Z318" s="1">
        <v>2.77</v>
      </c>
      <c r="AA318" s="1">
        <v>0.6</v>
      </c>
      <c r="AB318" s="1">
        <v>0.25</v>
      </c>
      <c r="AC318" s="9">
        <v>2.61</v>
      </c>
      <c r="AD318" s="23">
        <f t="shared" si="284"/>
        <v>98.47999999999999</v>
      </c>
      <c r="AE318" s="21">
        <f t="shared" si="285"/>
        <v>12.63029</v>
      </c>
      <c r="AF318" s="23">
        <f t="shared" si="286"/>
        <v>0.51721302685694681</v>
      </c>
      <c r="AH318" s="16">
        <f t="shared" si="287"/>
        <v>49.650568478147498</v>
      </c>
      <c r="AI318" s="16">
        <f t="shared" si="287"/>
        <v>2.1904662563888602</v>
      </c>
      <c r="AJ318" s="16">
        <f t="shared" si="287"/>
        <v>14.238030666527591</v>
      </c>
      <c r="AK318" s="16">
        <f t="shared" si="287"/>
        <v>9.0852195681652255</v>
      </c>
      <c r="AL318" s="16">
        <f t="shared" si="287"/>
        <v>5.006780014603109</v>
      </c>
      <c r="AM318" s="16">
        <f t="shared" si="287"/>
        <v>0.12516950036507773</v>
      </c>
      <c r="AN318" s="16">
        <f t="shared" si="287"/>
        <v>7.9169708980911659</v>
      </c>
      <c r="AO318" s="16">
        <f t="shared" si="287"/>
        <v>8.010848023364975</v>
      </c>
      <c r="AP318" s="16">
        <f t="shared" si="287"/>
        <v>2.8893293000938773</v>
      </c>
      <c r="AQ318" s="16">
        <f t="shared" si="287"/>
        <v>0.62584750182538862</v>
      </c>
      <c r="AR318" s="16">
        <f t="shared" si="287"/>
        <v>0.26076979242724524</v>
      </c>
      <c r="AS318" s="16">
        <f t="shared" si="288"/>
        <v>100</v>
      </c>
      <c r="AT318" s="16">
        <f t="shared" si="289"/>
        <v>13.174392406383648</v>
      </c>
      <c r="AV318" s="1" t="s">
        <v>428</v>
      </c>
      <c r="AY318" s="41"/>
      <c r="AZ318" s="41"/>
      <c r="BA318" s="41">
        <v>350</v>
      </c>
      <c r="BB318" s="41"/>
      <c r="BC318" s="41">
        <v>178</v>
      </c>
      <c r="BD318" s="41"/>
      <c r="BE318" s="41">
        <v>39</v>
      </c>
      <c r="BF318" s="41"/>
      <c r="BG318" s="41">
        <v>77</v>
      </c>
      <c r="BH318" s="41"/>
      <c r="BI318" s="41">
        <v>329</v>
      </c>
      <c r="BJ318" s="41"/>
      <c r="BK318" s="41">
        <v>81</v>
      </c>
      <c r="BL318" s="41"/>
      <c r="BM318" s="41"/>
      <c r="BN318" s="41">
        <v>13</v>
      </c>
      <c r="BO318" s="41"/>
      <c r="BP318" s="41"/>
      <c r="BQ318" s="41">
        <v>247</v>
      </c>
      <c r="BR318" s="41"/>
      <c r="BS318" s="41">
        <v>45</v>
      </c>
      <c r="BT318" s="41"/>
      <c r="BU318" s="41">
        <v>123</v>
      </c>
      <c r="BV318" s="41"/>
      <c r="BW318" s="41">
        <v>8</v>
      </c>
    </row>
    <row r="319" spans="1:98">
      <c r="A319" s="1" t="s">
        <v>289</v>
      </c>
      <c r="B319" s="4" t="s">
        <v>290</v>
      </c>
      <c r="C319" s="1" t="s">
        <v>553</v>
      </c>
      <c r="D319" s="63">
        <v>67.22</v>
      </c>
      <c r="E319" s="63">
        <v>2.93</v>
      </c>
      <c r="F319" s="1" t="s">
        <v>308</v>
      </c>
      <c r="G319" s="1" t="s">
        <v>187</v>
      </c>
      <c r="H319" s="1" t="s">
        <v>139</v>
      </c>
      <c r="I319" s="9">
        <v>540</v>
      </c>
      <c r="J319" s="38" t="s">
        <v>256</v>
      </c>
      <c r="L319" s="4" t="s">
        <v>426</v>
      </c>
      <c r="M319" s="78" t="s">
        <v>866</v>
      </c>
      <c r="N319" s="78"/>
      <c r="Q319" s="1" t="s">
        <v>312</v>
      </c>
      <c r="R319" s="4">
        <v>48.8</v>
      </c>
      <c r="S319" s="1">
        <v>2.02</v>
      </c>
      <c r="T319" s="1">
        <v>13.71</v>
      </c>
      <c r="U319" s="1">
        <v>4.42</v>
      </c>
      <c r="V319" s="1">
        <v>8.18</v>
      </c>
      <c r="W319" s="1">
        <v>0.2</v>
      </c>
      <c r="X319" s="1">
        <v>7.34</v>
      </c>
      <c r="Y319" s="1">
        <v>11.2</v>
      </c>
      <c r="Z319" s="1">
        <v>2.25</v>
      </c>
      <c r="AA319" s="1">
        <v>0.16</v>
      </c>
      <c r="AB319" s="1">
        <v>0.17</v>
      </c>
      <c r="AC319" s="9">
        <v>1.1299999999999999</v>
      </c>
      <c r="AD319" s="23">
        <f t="shared" si="284"/>
        <v>99.58</v>
      </c>
      <c r="AE319" s="21">
        <f t="shared" si="285"/>
        <v>12.15358</v>
      </c>
      <c r="AF319" s="23">
        <f t="shared" si="286"/>
        <v>0.51845678469991108</v>
      </c>
      <c r="AH319" s="16">
        <f t="shared" si="287"/>
        <v>49.568308786185881</v>
      </c>
      <c r="AI319" s="16">
        <f t="shared" si="287"/>
        <v>2.0518029456576943</v>
      </c>
      <c r="AJ319" s="16">
        <f t="shared" si="287"/>
        <v>13.925850685627221</v>
      </c>
      <c r="AK319" s="16">
        <f t="shared" si="287"/>
        <v>4.4895886236668359</v>
      </c>
      <c r="AL319" s="16">
        <f t="shared" si="287"/>
        <v>8.3087861858811571</v>
      </c>
      <c r="AM319" s="16">
        <f t="shared" si="287"/>
        <v>0.20314880650076181</v>
      </c>
      <c r="AN319" s="16">
        <f t="shared" si="287"/>
        <v>7.455561198577958</v>
      </c>
      <c r="AO319" s="16">
        <f t="shared" si="287"/>
        <v>11.376333164042661</v>
      </c>
      <c r="AP319" s="16">
        <f t="shared" si="287"/>
        <v>2.2854240731335702</v>
      </c>
      <c r="AQ319" s="16">
        <f t="shared" si="287"/>
        <v>0.16251904520060945</v>
      </c>
      <c r="AR319" s="16">
        <f t="shared" si="287"/>
        <v>0.17267648552564754</v>
      </c>
      <c r="AS319" s="16">
        <f t="shared" si="288"/>
        <v>99.999999999999986</v>
      </c>
      <c r="AT319" s="16">
        <f t="shared" si="289"/>
        <v>12.344926358557643</v>
      </c>
      <c r="AV319" s="1" t="s">
        <v>428</v>
      </c>
      <c r="AY319" s="41">
        <v>43.5</v>
      </c>
      <c r="AZ319" s="41"/>
      <c r="BA319" s="41">
        <v>354</v>
      </c>
      <c r="BB319" s="41"/>
      <c r="BC319" s="41">
        <v>295</v>
      </c>
      <c r="BD319" s="41"/>
      <c r="BE319" s="41">
        <v>48.7</v>
      </c>
      <c r="BF319" s="41"/>
      <c r="BG319" s="41">
        <v>96</v>
      </c>
      <c r="BH319" s="41"/>
      <c r="BI319" s="41">
        <v>128</v>
      </c>
      <c r="BJ319" s="41"/>
      <c r="BK319" s="41">
        <v>100</v>
      </c>
      <c r="BL319" s="41"/>
      <c r="BM319" s="41"/>
      <c r="BN319" s="41">
        <v>2</v>
      </c>
      <c r="BO319" s="41"/>
      <c r="BP319" s="41"/>
      <c r="BQ319" s="41">
        <v>215</v>
      </c>
      <c r="BR319" s="41"/>
      <c r="BS319" s="41">
        <v>34</v>
      </c>
      <c r="BT319" s="41"/>
      <c r="BU319" s="41">
        <v>113</v>
      </c>
      <c r="BV319" s="41"/>
      <c r="BW319" s="41">
        <v>8</v>
      </c>
    </row>
    <row r="320" spans="1:98">
      <c r="A320" s="1" t="s">
        <v>289</v>
      </c>
      <c r="B320" s="4" t="s">
        <v>290</v>
      </c>
      <c r="C320" s="40" t="s">
        <v>670</v>
      </c>
      <c r="D320" s="63">
        <v>67.22</v>
      </c>
      <c r="E320" s="63">
        <v>2.93</v>
      </c>
      <c r="F320" s="1" t="s">
        <v>308</v>
      </c>
      <c r="G320" s="4"/>
      <c r="H320" s="4"/>
      <c r="J320" s="38" t="s">
        <v>256</v>
      </c>
      <c r="K320" s="40"/>
      <c r="L320" s="4" t="s">
        <v>423</v>
      </c>
      <c r="M320" s="78" t="s">
        <v>867</v>
      </c>
      <c r="N320" s="78"/>
      <c r="O320" s="4"/>
      <c r="P320" s="4"/>
      <c r="Q320" s="4"/>
      <c r="AD320" s="23"/>
      <c r="AE320" s="23"/>
      <c r="AF320" s="23"/>
      <c r="AG320" s="45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45"/>
      <c r="AV320" s="4"/>
      <c r="AY320" s="39">
        <v>34</v>
      </c>
      <c r="BR320" s="39">
        <v>31.23</v>
      </c>
      <c r="BS320" s="39"/>
      <c r="BT320" s="39">
        <v>111.21</v>
      </c>
      <c r="BV320" s="39">
        <v>7.25</v>
      </c>
      <c r="BW320" s="39"/>
      <c r="CA320" s="39">
        <v>41.22</v>
      </c>
      <c r="CB320" s="39">
        <v>5.69</v>
      </c>
      <c r="CC320" s="39">
        <v>17.47</v>
      </c>
      <c r="CD320" s="39">
        <v>2.63</v>
      </c>
      <c r="CE320" s="39">
        <v>13.96</v>
      </c>
      <c r="CF320" s="39">
        <v>4.32</v>
      </c>
      <c r="CG320" s="39">
        <v>1.55</v>
      </c>
      <c r="CH320" s="39">
        <v>5.18</v>
      </c>
      <c r="CI320" s="39">
        <v>0.92</v>
      </c>
      <c r="CJ320" s="39">
        <v>5.7</v>
      </c>
      <c r="CK320" s="39">
        <v>1.1599999999999999</v>
      </c>
      <c r="CL320" s="39">
        <v>3.23</v>
      </c>
      <c r="CM320" s="39">
        <v>0.49</v>
      </c>
      <c r="CN320" s="39">
        <v>2.85</v>
      </c>
      <c r="CO320" s="39">
        <v>0.43</v>
      </c>
      <c r="CP320" s="39">
        <v>3.03</v>
      </c>
      <c r="CQ320" s="39">
        <v>0.44</v>
      </c>
      <c r="CR320" s="39">
        <v>0.47</v>
      </c>
      <c r="CS320" s="39">
        <v>0.53</v>
      </c>
      <c r="CT320" s="39">
        <v>0.12</v>
      </c>
    </row>
    <row r="321" spans="1:98">
      <c r="A321" s="1" t="s">
        <v>289</v>
      </c>
      <c r="B321" s="4" t="s">
        <v>290</v>
      </c>
      <c r="C321" s="1" t="s">
        <v>554</v>
      </c>
      <c r="D321" s="63">
        <v>67.22</v>
      </c>
      <c r="E321" s="63">
        <v>2.93</v>
      </c>
      <c r="F321" s="1" t="s">
        <v>308</v>
      </c>
      <c r="G321" s="1" t="s">
        <v>218</v>
      </c>
      <c r="H321" s="1" t="s">
        <v>139</v>
      </c>
      <c r="I321" s="9">
        <v>548.20000000000005</v>
      </c>
      <c r="J321" s="38" t="s">
        <v>256</v>
      </c>
      <c r="L321" s="4" t="s">
        <v>426</v>
      </c>
      <c r="M321" s="78" t="s">
        <v>866</v>
      </c>
      <c r="N321" s="78"/>
      <c r="Q321" s="1" t="s">
        <v>312</v>
      </c>
      <c r="R321" s="4">
        <v>48.3</v>
      </c>
      <c r="S321" s="1">
        <v>1.82</v>
      </c>
      <c r="T321" s="1">
        <v>14.9</v>
      </c>
      <c r="U321" s="1">
        <v>6.17</v>
      </c>
      <c r="V321" s="1">
        <v>5.36</v>
      </c>
      <c r="W321" s="1">
        <v>0.2</v>
      </c>
      <c r="X321" s="1">
        <v>7.96</v>
      </c>
      <c r="Y321" s="1">
        <v>10.84</v>
      </c>
      <c r="Z321" s="1">
        <v>2.42</v>
      </c>
      <c r="AA321" s="1">
        <v>0.35</v>
      </c>
      <c r="AB321" s="1">
        <v>0.17</v>
      </c>
      <c r="AC321" s="9">
        <v>1.73</v>
      </c>
      <c r="AD321" s="23">
        <f>SUM(R321:AB321)+AC321</f>
        <v>100.22</v>
      </c>
      <c r="AE321" s="21">
        <f>V321+0.899*U321</f>
        <v>10.906829999999999</v>
      </c>
      <c r="AF321" s="23">
        <f>(X321/40.3)/((X321/40.3)+(AE321/71.844))</f>
        <v>0.56541918021443138</v>
      </c>
      <c r="AH321" s="16">
        <f t="shared" ref="AH321:AR321" si="290">100*R321/SUM($R321:$AB321)</f>
        <v>49.040511727078894</v>
      </c>
      <c r="AI321" s="16">
        <f t="shared" si="290"/>
        <v>1.847903340440654</v>
      </c>
      <c r="AJ321" s="16">
        <f t="shared" si="290"/>
        <v>15.128439435475684</v>
      </c>
      <c r="AK321" s="16">
        <f t="shared" si="290"/>
        <v>6.2645953903949643</v>
      </c>
      <c r="AL321" s="16">
        <f t="shared" si="290"/>
        <v>5.4421768707483</v>
      </c>
      <c r="AM321" s="16">
        <f t="shared" si="290"/>
        <v>0.2030663011473246</v>
      </c>
      <c r="AN321" s="16">
        <f t="shared" si="290"/>
        <v>8.082038785663519</v>
      </c>
      <c r="AO321" s="16">
        <f t="shared" si="290"/>
        <v>11.006193522184994</v>
      </c>
      <c r="AP321" s="16">
        <f t="shared" si="290"/>
        <v>2.4571022438826278</v>
      </c>
      <c r="AQ321" s="16">
        <f t="shared" si="290"/>
        <v>0.35536602700781805</v>
      </c>
      <c r="AR321" s="16">
        <f t="shared" si="290"/>
        <v>0.17260635597522592</v>
      </c>
      <c r="AS321" s="16">
        <f>SUM(AH321:AR321)</f>
        <v>100</v>
      </c>
      <c r="AT321" s="16">
        <f>AL321+0.899*AK321</f>
        <v>11.074048126713373</v>
      </c>
      <c r="AV321" s="1" t="s">
        <v>428</v>
      </c>
      <c r="AY321" s="41"/>
      <c r="AZ321" s="41"/>
      <c r="BA321" s="41">
        <v>346</v>
      </c>
      <c r="BB321" s="41"/>
      <c r="BC321" s="41">
        <v>292</v>
      </c>
      <c r="BD321" s="41"/>
      <c r="BE321" s="41">
        <v>45</v>
      </c>
      <c r="BF321" s="41"/>
      <c r="BG321" s="41">
        <v>108</v>
      </c>
      <c r="BH321" s="41"/>
      <c r="BI321" s="41">
        <v>69</v>
      </c>
      <c r="BJ321" s="41"/>
      <c r="BK321" s="41">
        <v>103</v>
      </c>
      <c r="BL321" s="41"/>
      <c r="BM321" s="41"/>
      <c r="BN321" s="41">
        <v>4</v>
      </c>
      <c r="BO321" s="41"/>
      <c r="BP321" s="41"/>
      <c r="BQ321" s="41">
        <v>191</v>
      </c>
      <c r="BR321" s="41"/>
      <c r="BS321" s="41">
        <v>26</v>
      </c>
      <c r="BT321" s="41"/>
      <c r="BU321" s="41">
        <v>104</v>
      </c>
      <c r="BV321" s="41"/>
      <c r="BW321" s="41">
        <v>7</v>
      </c>
    </row>
    <row r="322" spans="1:98">
      <c r="A322" s="1" t="s">
        <v>289</v>
      </c>
      <c r="B322" s="4" t="s">
        <v>290</v>
      </c>
      <c r="C322" s="40" t="s">
        <v>671</v>
      </c>
      <c r="D322" s="63">
        <v>67.22</v>
      </c>
      <c r="E322" s="63">
        <v>2.93</v>
      </c>
      <c r="F322" s="1" t="s">
        <v>308</v>
      </c>
      <c r="G322" s="4"/>
      <c r="H322" s="4"/>
      <c r="J322" s="38" t="s">
        <v>256</v>
      </c>
      <c r="K322" s="40"/>
      <c r="L322" s="4" t="s">
        <v>423</v>
      </c>
      <c r="M322" s="78" t="s">
        <v>867</v>
      </c>
      <c r="N322" s="78"/>
      <c r="O322" s="4"/>
      <c r="P322" s="4"/>
      <c r="Q322" s="4"/>
      <c r="AD322" s="23"/>
      <c r="AE322" s="23"/>
      <c r="AF322" s="23"/>
      <c r="AG322" s="45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45"/>
      <c r="AV322" s="4"/>
      <c r="AY322" s="39">
        <v>37.14</v>
      </c>
      <c r="BR322" s="39">
        <v>27.84</v>
      </c>
      <c r="BS322" s="39"/>
      <c r="BT322" s="39">
        <v>97.42</v>
      </c>
      <c r="BV322" s="39">
        <v>6.41</v>
      </c>
      <c r="BW322" s="39"/>
      <c r="CA322" s="39">
        <v>33.56</v>
      </c>
      <c r="CB322" s="39">
        <v>7.16</v>
      </c>
      <c r="CC322" s="39">
        <v>15.51</v>
      </c>
      <c r="CD322" s="39">
        <v>2.35</v>
      </c>
      <c r="CE322" s="39">
        <v>12.46</v>
      </c>
      <c r="CF322" s="39">
        <v>3.88</v>
      </c>
      <c r="CG322" s="39">
        <v>1.42</v>
      </c>
      <c r="CH322" s="39">
        <v>4.6900000000000004</v>
      </c>
      <c r="CI322" s="39">
        <v>0.83</v>
      </c>
      <c r="CJ322" s="39">
        <v>5.03</v>
      </c>
      <c r="CK322" s="39">
        <v>1.01</v>
      </c>
      <c r="CL322" s="39">
        <v>2.8</v>
      </c>
      <c r="CM322" s="39">
        <v>0.43</v>
      </c>
      <c r="CN322" s="39">
        <v>2.57</v>
      </c>
      <c r="CO322" s="39">
        <v>0.39</v>
      </c>
      <c r="CP322" s="39">
        <v>2.66</v>
      </c>
      <c r="CQ322" s="39">
        <v>0.37</v>
      </c>
      <c r="CR322" s="39"/>
      <c r="CS322" s="39">
        <v>0.4</v>
      </c>
      <c r="CT322" s="39">
        <v>0.1</v>
      </c>
    </row>
    <row r="323" spans="1:98">
      <c r="A323" s="1" t="s">
        <v>289</v>
      </c>
      <c r="B323" s="4" t="s">
        <v>290</v>
      </c>
      <c r="C323" s="1" t="s">
        <v>555</v>
      </c>
      <c r="D323" s="63">
        <v>67.22</v>
      </c>
      <c r="E323" s="63">
        <v>2.93</v>
      </c>
      <c r="F323" s="1" t="s">
        <v>308</v>
      </c>
      <c r="G323" s="1" t="s">
        <v>185</v>
      </c>
      <c r="H323" s="1" t="s">
        <v>139</v>
      </c>
      <c r="I323" s="9">
        <v>559.29999999999995</v>
      </c>
      <c r="J323" s="38" t="s">
        <v>256</v>
      </c>
      <c r="L323" s="4" t="s">
        <v>426</v>
      </c>
      <c r="M323" s="78" t="s">
        <v>866</v>
      </c>
      <c r="N323" s="78"/>
      <c r="Q323" s="1" t="s">
        <v>312</v>
      </c>
      <c r="R323" s="4">
        <v>48.9</v>
      </c>
      <c r="S323" s="1">
        <v>1.81</v>
      </c>
      <c r="T323" s="1">
        <v>14.75</v>
      </c>
      <c r="U323" s="1">
        <v>4.63</v>
      </c>
      <c r="V323" s="1">
        <v>6.15</v>
      </c>
      <c r="W323" s="1">
        <v>0.15</v>
      </c>
      <c r="X323" s="1">
        <v>7.63</v>
      </c>
      <c r="Y323" s="1">
        <v>12.27</v>
      </c>
      <c r="Z323" s="1">
        <v>2.2200000000000002</v>
      </c>
      <c r="AA323" s="1">
        <v>0.15</v>
      </c>
      <c r="AB323" s="1">
        <v>0.16</v>
      </c>
      <c r="AC323" s="9">
        <v>1.1399999999999999</v>
      </c>
      <c r="AD323" s="23">
        <f t="shared" ref="AD323:AD328" si="291">SUM(R323:AB323)+AC323</f>
        <v>99.960000000000008</v>
      </c>
      <c r="AE323" s="21">
        <f t="shared" ref="AE323:AE328" si="292">V323+0.899*U323</f>
        <v>10.312370000000001</v>
      </c>
      <c r="AF323" s="23">
        <f t="shared" ref="AF323:AF328" si="293">(X323/40.3)/((X323/40.3)+(AE323/71.844))</f>
        <v>0.56878343796993203</v>
      </c>
      <c r="AH323" s="16">
        <f t="shared" ref="AH323:AR328" si="294">100*R323/SUM($R323:$AB323)</f>
        <v>49.48391013964784</v>
      </c>
      <c r="AI323" s="16">
        <f t="shared" si="294"/>
        <v>1.8316130337988261</v>
      </c>
      <c r="AJ323" s="16">
        <f t="shared" si="294"/>
        <v>14.926128314106455</v>
      </c>
      <c r="AK323" s="16">
        <f t="shared" si="294"/>
        <v>4.6852863792754498</v>
      </c>
      <c r="AL323" s="16">
        <f t="shared" si="294"/>
        <v>6.2234365513054035</v>
      </c>
      <c r="AM323" s="16">
        <f t="shared" si="294"/>
        <v>0.15179113539769276</v>
      </c>
      <c r="AN323" s="16">
        <f t="shared" si="294"/>
        <v>7.7211090872293049</v>
      </c>
      <c r="AO323" s="16">
        <f t="shared" si="294"/>
        <v>12.416514875531268</v>
      </c>
      <c r="AP323" s="16">
        <f t="shared" si="294"/>
        <v>2.2465088038858534</v>
      </c>
      <c r="AQ323" s="16">
        <f t="shared" si="294"/>
        <v>0.15179113539769276</v>
      </c>
      <c r="AR323" s="16">
        <f t="shared" si="294"/>
        <v>0.1619105444242056</v>
      </c>
      <c r="AS323" s="16">
        <f t="shared" ref="AS323:AS328" si="295">SUM(AH323:AR323)</f>
        <v>99.999999999999972</v>
      </c>
      <c r="AT323" s="16">
        <f t="shared" ref="AT323:AT328" si="296">AL323+0.899*AK323</f>
        <v>10.435509006274032</v>
      </c>
      <c r="AV323" s="1" t="s">
        <v>428</v>
      </c>
      <c r="AY323" s="41">
        <v>45.1</v>
      </c>
      <c r="AZ323" s="41"/>
      <c r="BA323" s="41">
        <v>333</v>
      </c>
      <c r="BB323" s="41"/>
      <c r="BC323" s="41">
        <v>322</v>
      </c>
      <c r="BD323" s="41"/>
      <c r="BE323" s="41">
        <v>47.8</v>
      </c>
      <c r="BF323" s="41"/>
      <c r="BG323" s="41">
        <v>96</v>
      </c>
      <c r="BH323" s="41"/>
      <c r="BI323" s="41">
        <v>84</v>
      </c>
      <c r="BJ323" s="41"/>
      <c r="BK323" s="41">
        <v>95</v>
      </c>
      <c r="BL323" s="41"/>
      <c r="BM323" s="41"/>
      <c r="BN323" s="41"/>
      <c r="BO323" s="41"/>
      <c r="BP323" s="41"/>
      <c r="BQ323" s="41">
        <v>213</v>
      </c>
      <c r="BR323" s="41"/>
      <c r="BS323" s="41">
        <v>28</v>
      </c>
      <c r="BT323" s="41"/>
      <c r="BU323" s="41">
        <v>104</v>
      </c>
      <c r="BV323" s="41"/>
      <c r="BW323" s="41">
        <v>3</v>
      </c>
    </row>
    <row r="324" spans="1:98">
      <c r="A324" s="1" t="s">
        <v>289</v>
      </c>
      <c r="B324" s="4" t="s">
        <v>290</v>
      </c>
      <c r="C324" s="1" t="s">
        <v>556</v>
      </c>
      <c r="D324" s="63">
        <v>67.22</v>
      </c>
      <c r="E324" s="63">
        <v>2.93</v>
      </c>
      <c r="F324" s="1" t="s">
        <v>308</v>
      </c>
      <c r="G324" s="1" t="s">
        <v>188</v>
      </c>
      <c r="H324" s="1" t="s">
        <v>139</v>
      </c>
      <c r="I324" s="9">
        <v>566.20000000000005</v>
      </c>
      <c r="J324" s="38" t="s">
        <v>256</v>
      </c>
      <c r="L324" s="4" t="s">
        <v>426</v>
      </c>
      <c r="M324" s="78" t="s">
        <v>866</v>
      </c>
      <c r="N324" s="78"/>
      <c r="Q324" s="1" t="s">
        <v>312</v>
      </c>
      <c r="R324" s="4">
        <v>48.1</v>
      </c>
      <c r="S324" s="1">
        <v>2.19</v>
      </c>
      <c r="T324" s="1">
        <v>13.39</v>
      </c>
      <c r="U324" s="1">
        <v>9.32</v>
      </c>
      <c r="V324" s="1">
        <v>4.3899999999999997</v>
      </c>
      <c r="W324" s="1">
        <v>0.13</v>
      </c>
      <c r="X324" s="1">
        <v>7.57</v>
      </c>
      <c r="Y324" s="1">
        <v>9.26</v>
      </c>
      <c r="Z324" s="1">
        <v>2.34</v>
      </c>
      <c r="AA324" s="1">
        <v>0.81</v>
      </c>
      <c r="AB324" s="1">
        <v>0.2</v>
      </c>
      <c r="AC324" s="9">
        <v>1.6</v>
      </c>
      <c r="AD324" s="23">
        <f t="shared" si="291"/>
        <v>99.300000000000011</v>
      </c>
      <c r="AE324" s="21">
        <f t="shared" si="292"/>
        <v>12.76868</v>
      </c>
      <c r="AF324" s="23">
        <f t="shared" si="293"/>
        <v>0.51383232030300263</v>
      </c>
      <c r="AH324" s="16">
        <f t="shared" si="294"/>
        <v>49.232343909928346</v>
      </c>
      <c r="AI324" s="16">
        <f t="shared" si="294"/>
        <v>2.2415557830092117</v>
      </c>
      <c r="AJ324" s="16">
        <f t="shared" si="294"/>
        <v>13.705220061412485</v>
      </c>
      <c r="AK324" s="16">
        <f t="shared" si="294"/>
        <v>9.5394063459570102</v>
      </c>
      <c r="AL324" s="16">
        <f t="shared" si="294"/>
        <v>4.4933469805527109</v>
      </c>
      <c r="AM324" s="16">
        <f t="shared" si="294"/>
        <v>0.13306038894575228</v>
      </c>
      <c r="AN324" s="16">
        <f t="shared" si="294"/>
        <v>7.7482088024564986</v>
      </c>
      <c r="AO324" s="16">
        <f t="shared" si="294"/>
        <v>9.4779938587512778</v>
      </c>
      <c r="AP324" s="16">
        <f t="shared" si="294"/>
        <v>2.395087001023541</v>
      </c>
      <c r="AQ324" s="16">
        <f t="shared" si="294"/>
        <v>0.82906857727737959</v>
      </c>
      <c r="AR324" s="16">
        <f t="shared" si="294"/>
        <v>0.20470829068577273</v>
      </c>
      <c r="AS324" s="16">
        <f t="shared" si="295"/>
        <v>99.999999999999986</v>
      </c>
      <c r="AT324" s="16">
        <f t="shared" si="296"/>
        <v>13.069273285568062</v>
      </c>
      <c r="AV324" s="1" t="s">
        <v>428</v>
      </c>
      <c r="AY324" s="41"/>
      <c r="AZ324" s="41"/>
      <c r="BA324" s="41">
        <v>365</v>
      </c>
      <c r="BB324" s="41"/>
      <c r="BC324" s="41">
        <v>173</v>
      </c>
      <c r="BD324" s="41"/>
      <c r="BE324" s="41">
        <v>42</v>
      </c>
      <c r="BF324" s="41"/>
      <c r="BG324" s="41">
        <v>88</v>
      </c>
      <c r="BH324" s="41"/>
      <c r="BI324" s="41">
        <v>197</v>
      </c>
      <c r="BJ324" s="41"/>
      <c r="BK324" s="41">
        <v>104</v>
      </c>
      <c r="BL324" s="41"/>
      <c r="BM324" s="41"/>
      <c r="BN324" s="41">
        <v>21</v>
      </c>
      <c r="BO324" s="41"/>
      <c r="BP324" s="41"/>
      <c r="BQ324" s="41">
        <v>238</v>
      </c>
      <c r="BR324" s="41"/>
      <c r="BS324" s="41">
        <v>36</v>
      </c>
      <c r="BT324" s="41"/>
      <c r="BU324" s="41">
        <v>127</v>
      </c>
      <c r="BV324" s="41"/>
      <c r="BW324" s="41">
        <v>8</v>
      </c>
    </row>
    <row r="325" spans="1:98">
      <c r="A325" s="1" t="s">
        <v>289</v>
      </c>
      <c r="B325" s="4" t="s">
        <v>290</v>
      </c>
      <c r="C325" s="1" t="s">
        <v>557</v>
      </c>
      <c r="D325" s="63">
        <v>67.22</v>
      </c>
      <c r="E325" s="63">
        <v>2.93</v>
      </c>
      <c r="F325" s="1" t="s">
        <v>308</v>
      </c>
      <c r="G325" s="1" t="s">
        <v>188</v>
      </c>
      <c r="H325" s="1" t="s">
        <v>139</v>
      </c>
      <c r="I325" s="9">
        <v>571.6</v>
      </c>
      <c r="J325" s="38" t="s">
        <v>256</v>
      </c>
      <c r="L325" s="4" t="s">
        <v>426</v>
      </c>
      <c r="M325" s="78" t="s">
        <v>866</v>
      </c>
      <c r="N325" s="78"/>
      <c r="Q325" s="1" t="s">
        <v>312</v>
      </c>
      <c r="R325" s="4">
        <v>48</v>
      </c>
      <c r="S325" s="1">
        <v>2.17</v>
      </c>
      <c r="T325" s="1">
        <v>13.76</v>
      </c>
      <c r="U325" s="1">
        <v>6.63</v>
      </c>
      <c r="V325" s="1">
        <v>6.19</v>
      </c>
      <c r="W325" s="1">
        <v>0.15</v>
      </c>
      <c r="X325" s="1">
        <v>7.22</v>
      </c>
      <c r="Y325" s="1">
        <v>10.86</v>
      </c>
      <c r="Z325" s="1">
        <v>2.33</v>
      </c>
      <c r="AA325" s="1">
        <v>0.2</v>
      </c>
      <c r="AB325" s="1">
        <v>0.21</v>
      </c>
      <c r="AC325" s="9">
        <v>1.48</v>
      </c>
      <c r="AD325" s="23">
        <f t="shared" si="291"/>
        <v>99.2</v>
      </c>
      <c r="AE325" s="21">
        <f t="shared" si="292"/>
        <v>12.150370000000001</v>
      </c>
      <c r="AF325" s="23">
        <f t="shared" si="293"/>
        <v>0.51440625243427263</v>
      </c>
      <c r="AH325" s="16">
        <f t="shared" si="294"/>
        <v>49.119934506753992</v>
      </c>
      <c r="AI325" s="16">
        <f t="shared" si="294"/>
        <v>2.2206303724928369</v>
      </c>
      <c r="AJ325" s="16">
        <f t="shared" si="294"/>
        <v>14.081047891936144</v>
      </c>
      <c r="AK325" s="16">
        <f t="shared" si="294"/>
        <v>6.784690953745395</v>
      </c>
      <c r="AL325" s="16">
        <f t="shared" si="294"/>
        <v>6.3344248874334834</v>
      </c>
      <c r="AM325" s="16">
        <f t="shared" si="294"/>
        <v>0.15349979533360622</v>
      </c>
      <c r="AN325" s="16">
        <f t="shared" si="294"/>
        <v>7.3884568153909127</v>
      </c>
      <c r="AO325" s="16">
        <f t="shared" si="294"/>
        <v>11.11338518215309</v>
      </c>
      <c r="AP325" s="16">
        <f t="shared" si="294"/>
        <v>2.3843634875153499</v>
      </c>
      <c r="AQ325" s="16">
        <f t="shared" si="294"/>
        <v>0.20466639377814164</v>
      </c>
      <c r="AR325" s="16">
        <f t="shared" si="294"/>
        <v>0.21489971346704873</v>
      </c>
      <c r="AS325" s="16">
        <f t="shared" si="295"/>
        <v>99.999999999999986</v>
      </c>
      <c r="AT325" s="16">
        <f t="shared" si="296"/>
        <v>12.433862054850593</v>
      </c>
      <c r="AV325" s="1" t="s">
        <v>428</v>
      </c>
      <c r="AY325" s="41"/>
      <c r="AZ325" s="41"/>
      <c r="BA325" s="41">
        <v>362</v>
      </c>
      <c r="BB325" s="41"/>
      <c r="BC325" s="41">
        <v>204</v>
      </c>
      <c r="BD325" s="41"/>
      <c r="BE325" s="41">
        <v>39</v>
      </c>
      <c r="BF325" s="41"/>
      <c r="BG325" s="41">
        <v>88</v>
      </c>
      <c r="BH325" s="41"/>
      <c r="BI325" s="41">
        <v>184</v>
      </c>
      <c r="BJ325" s="41"/>
      <c r="BK325" s="41">
        <v>103</v>
      </c>
      <c r="BL325" s="41"/>
      <c r="BM325" s="41"/>
      <c r="BN325" s="41">
        <v>6</v>
      </c>
      <c r="BO325" s="41"/>
      <c r="BP325" s="41"/>
      <c r="BQ325" s="41">
        <v>200</v>
      </c>
      <c r="BR325" s="41"/>
      <c r="BS325" s="41">
        <v>34</v>
      </c>
      <c r="BT325" s="41"/>
      <c r="BU325" s="41">
        <v>126</v>
      </c>
      <c r="BV325" s="41"/>
      <c r="BW325" s="41">
        <v>5</v>
      </c>
      <c r="CB325" s="9">
        <v>6.8</v>
      </c>
      <c r="CC325" s="9">
        <v>18.7</v>
      </c>
      <c r="CE325" s="9">
        <v>13.6</v>
      </c>
      <c r="CF325" s="9">
        <v>4.16</v>
      </c>
      <c r="CG325" s="9">
        <v>1.58</v>
      </c>
      <c r="CI325" s="9">
        <v>0.86</v>
      </c>
      <c r="CN325" s="9">
        <v>2.6</v>
      </c>
      <c r="CO325" s="9">
        <v>0.38</v>
      </c>
      <c r="CP325" s="9">
        <v>2.91</v>
      </c>
      <c r="CQ325" s="9">
        <v>0.48</v>
      </c>
      <c r="CS325" s="9">
        <v>0.73</v>
      </c>
    </row>
    <row r="326" spans="1:98">
      <c r="A326" s="1" t="s">
        <v>289</v>
      </c>
      <c r="B326" s="4" t="s">
        <v>290</v>
      </c>
      <c r="C326" s="1" t="s">
        <v>558</v>
      </c>
      <c r="D326" s="63">
        <v>67.22</v>
      </c>
      <c r="E326" s="63">
        <v>2.93</v>
      </c>
      <c r="F326" s="1" t="s">
        <v>308</v>
      </c>
      <c r="G326" s="1" t="s">
        <v>170</v>
      </c>
      <c r="H326" s="1" t="s">
        <v>139</v>
      </c>
      <c r="I326" s="9">
        <v>583.1</v>
      </c>
      <c r="J326" s="38" t="s">
        <v>256</v>
      </c>
      <c r="L326" s="4" t="s">
        <v>426</v>
      </c>
      <c r="M326" s="78" t="s">
        <v>866</v>
      </c>
      <c r="N326" s="78"/>
      <c r="Q326" s="1" t="s">
        <v>312</v>
      </c>
      <c r="R326" s="4">
        <v>48.3</v>
      </c>
      <c r="S326" s="1">
        <v>2.2599999999999998</v>
      </c>
      <c r="T326" s="1">
        <v>13.8</v>
      </c>
      <c r="U326" s="1">
        <v>5.14</v>
      </c>
      <c r="V326" s="1">
        <v>7.06</v>
      </c>
      <c r="W326" s="1">
        <v>0.23</v>
      </c>
      <c r="X326" s="1">
        <v>7.25</v>
      </c>
      <c r="Y326" s="1">
        <v>10.65</v>
      </c>
      <c r="Z326" s="1">
        <v>2.4300000000000002</v>
      </c>
      <c r="AA326" s="1">
        <v>0.16</v>
      </c>
      <c r="AB326" s="1">
        <v>0.2</v>
      </c>
      <c r="AC326" s="9">
        <v>1.24</v>
      </c>
      <c r="AD326" s="23">
        <f t="shared" si="291"/>
        <v>98.720000000000013</v>
      </c>
      <c r="AE326" s="21">
        <f t="shared" si="292"/>
        <v>11.680859999999999</v>
      </c>
      <c r="AF326" s="23">
        <f t="shared" si="293"/>
        <v>0.52527730680353424</v>
      </c>
      <c r="AH326" s="16">
        <f t="shared" si="294"/>
        <v>49.548625359048003</v>
      </c>
      <c r="AI326" s="16">
        <f t="shared" si="294"/>
        <v>2.318424292162494</v>
      </c>
      <c r="AJ326" s="16">
        <f t="shared" si="294"/>
        <v>14.156750102585143</v>
      </c>
      <c r="AK326" s="16">
        <f t="shared" si="294"/>
        <v>5.272876487484611</v>
      </c>
      <c r="AL326" s="16">
        <f t="shared" si="294"/>
        <v>7.2425112843660227</v>
      </c>
      <c r="AM326" s="16">
        <f t="shared" si="294"/>
        <v>0.23594583504308572</v>
      </c>
      <c r="AN326" s="16">
        <f t="shared" si="294"/>
        <v>7.4374230611407457</v>
      </c>
      <c r="AO326" s="16">
        <f t="shared" si="294"/>
        <v>10.925318013951578</v>
      </c>
      <c r="AP326" s="16">
        <f t="shared" si="294"/>
        <v>2.4928190398030363</v>
      </c>
      <c r="AQ326" s="16">
        <f t="shared" si="294"/>
        <v>0.16413623307345093</v>
      </c>
      <c r="AR326" s="16">
        <f t="shared" si="294"/>
        <v>0.20517029134181367</v>
      </c>
      <c r="AS326" s="16">
        <f t="shared" si="295"/>
        <v>99.999999999999986</v>
      </c>
      <c r="AT326" s="16">
        <f t="shared" si="296"/>
        <v>11.982827246614688</v>
      </c>
      <c r="AV326" s="1" t="s">
        <v>428</v>
      </c>
      <c r="AY326" s="41">
        <v>44.1</v>
      </c>
      <c r="AZ326" s="41"/>
      <c r="BA326" s="41">
        <v>365</v>
      </c>
      <c r="BB326" s="41"/>
      <c r="BC326" s="41">
        <v>182</v>
      </c>
      <c r="BD326" s="41"/>
      <c r="BE326" s="41">
        <v>49.5</v>
      </c>
      <c r="BF326" s="41"/>
      <c r="BG326" s="41">
        <v>87</v>
      </c>
      <c r="BH326" s="41"/>
      <c r="BI326" s="41">
        <v>196</v>
      </c>
      <c r="BJ326" s="41"/>
      <c r="BK326" s="41">
        <v>113</v>
      </c>
      <c r="BL326" s="41"/>
      <c r="BM326" s="41"/>
      <c r="BN326" s="41">
        <v>4</v>
      </c>
      <c r="BO326" s="41"/>
      <c r="BP326" s="41"/>
      <c r="BQ326" s="41">
        <v>230</v>
      </c>
      <c r="BR326" s="41"/>
      <c r="BS326" s="41">
        <v>33</v>
      </c>
      <c r="BT326" s="41"/>
      <c r="BU326" s="41">
        <v>129</v>
      </c>
      <c r="BV326" s="41"/>
      <c r="BW326" s="41">
        <v>7</v>
      </c>
      <c r="CB326" s="9">
        <v>5.0999999999999996</v>
      </c>
      <c r="CC326" s="9">
        <v>13.7</v>
      </c>
      <c r="CE326" s="9">
        <v>12.4</v>
      </c>
      <c r="CF326" s="9">
        <v>3.53</v>
      </c>
      <c r="CG326" s="9">
        <v>1.33</v>
      </c>
      <c r="CI326" s="9">
        <v>0.78</v>
      </c>
      <c r="CN326" s="9">
        <v>2.5099999999999998</v>
      </c>
      <c r="CO326" s="9">
        <v>0.37</v>
      </c>
      <c r="CP326" s="9">
        <v>2.31</v>
      </c>
      <c r="CQ326" s="9">
        <v>0.33</v>
      </c>
      <c r="CS326" s="9">
        <v>0.49</v>
      </c>
    </row>
    <row r="327" spans="1:98">
      <c r="A327" s="1" t="s">
        <v>289</v>
      </c>
      <c r="B327" s="4" t="s">
        <v>290</v>
      </c>
      <c r="C327" s="1" t="s">
        <v>559</v>
      </c>
      <c r="D327" s="63">
        <v>67.22</v>
      </c>
      <c r="E327" s="63">
        <v>2.93</v>
      </c>
      <c r="F327" s="1" t="s">
        <v>308</v>
      </c>
      <c r="G327" s="1" t="s">
        <v>190</v>
      </c>
      <c r="H327" s="1" t="s">
        <v>139</v>
      </c>
      <c r="I327" s="9">
        <v>585.9</v>
      </c>
      <c r="J327" s="38" t="s">
        <v>256</v>
      </c>
      <c r="L327" s="4" t="s">
        <v>426</v>
      </c>
      <c r="M327" s="78" t="s">
        <v>866</v>
      </c>
      <c r="N327" s="78"/>
      <c r="Q327" s="1" t="s">
        <v>312</v>
      </c>
      <c r="R327" s="4">
        <v>47.7</v>
      </c>
      <c r="S327" s="1">
        <v>2.0299999999999998</v>
      </c>
      <c r="T327" s="1">
        <v>14.45</v>
      </c>
      <c r="U327" s="1">
        <v>11.38</v>
      </c>
      <c r="V327" s="1">
        <v>1.72</v>
      </c>
      <c r="W327" s="1">
        <v>0.15</v>
      </c>
      <c r="X327" s="1">
        <v>7.18</v>
      </c>
      <c r="Y327" s="1">
        <v>10.44</v>
      </c>
      <c r="Z327" s="1">
        <v>2.38</v>
      </c>
      <c r="AA327" s="1">
        <v>0.18</v>
      </c>
      <c r="AB327" s="1">
        <v>0.18</v>
      </c>
      <c r="AC327" s="9">
        <v>1.46</v>
      </c>
      <c r="AD327" s="23">
        <f t="shared" si="291"/>
        <v>99.250000000000014</v>
      </c>
      <c r="AE327" s="21">
        <f t="shared" si="292"/>
        <v>11.950620000000002</v>
      </c>
      <c r="AF327" s="23">
        <f t="shared" si="293"/>
        <v>0.51715872335748148</v>
      </c>
      <c r="AH327" s="16">
        <f t="shared" si="294"/>
        <v>48.777993659883414</v>
      </c>
      <c r="AI327" s="16">
        <f t="shared" si="294"/>
        <v>2.0758768790264845</v>
      </c>
      <c r="AJ327" s="16">
        <f t="shared" si="294"/>
        <v>14.776562020656506</v>
      </c>
      <c r="AK327" s="16">
        <f t="shared" si="294"/>
        <v>11.637181715921871</v>
      </c>
      <c r="AL327" s="16">
        <f t="shared" si="294"/>
        <v>1.7588710502096325</v>
      </c>
      <c r="AM327" s="16">
        <f t="shared" si="294"/>
        <v>0.1533899171694447</v>
      </c>
      <c r="AN327" s="16">
        <f t="shared" si="294"/>
        <v>7.3422640351774193</v>
      </c>
      <c r="AO327" s="16">
        <f t="shared" si="294"/>
        <v>10.675938234993351</v>
      </c>
      <c r="AP327" s="16">
        <f t="shared" si="294"/>
        <v>2.4337866857551891</v>
      </c>
      <c r="AQ327" s="16">
        <f t="shared" si="294"/>
        <v>0.18406790060333364</v>
      </c>
      <c r="AR327" s="16">
        <f t="shared" si="294"/>
        <v>0.18406790060333364</v>
      </c>
      <c r="AS327" s="16">
        <f t="shared" si="295"/>
        <v>100</v>
      </c>
      <c r="AT327" s="16">
        <f t="shared" si="296"/>
        <v>12.220697412823395</v>
      </c>
      <c r="AV327" s="1" t="s">
        <v>428</v>
      </c>
      <c r="AY327" s="41"/>
      <c r="AZ327" s="41"/>
      <c r="BA327" s="41">
        <v>333</v>
      </c>
      <c r="BB327" s="41"/>
      <c r="BC327" s="41">
        <v>146</v>
      </c>
      <c r="BD327" s="41"/>
      <c r="BE327" s="41">
        <v>40</v>
      </c>
      <c r="BF327" s="41"/>
      <c r="BG327" s="41">
        <v>82</v>
      </c>
      <c r="BH327" s="41"/>
      <c r="BI327" s="41">
        <v>107</v>
      </c>
      <c r="BJ327" s="41"/>
      <c r="BK327" s="41">
        <v>99</v>
      </c>
      <c r="BL327" s="41"/>
      <c r="BM327" s="41"/>
      <c r="BN327" s="41">
        <v>7</v>
      </c>
      <c r="BO327" s="41"/>
      <c r="BP327" s="41"/>
      <c r="BQ327" s="41">
        <v>224</v>
      </c>
      <c r="BR327" s="41"/>
      <c r="BS327" s="41">
        <v>34</v>
      </c>
      <c r="BT327" s="41"/>
      <c r="BU327" s="41">
        <v>113</v>
      </c>
      <c r="BV327" s="41"/>
      <c r="BW327" s="41">
        <v>7</v>
      </c>
      <c r="CB327" s="9">
        <v>4.0999999999999996</v>
      </c>
      <c r="CC327" s="9">
        <v>11.7</v>
      </c>
      <c r="CE327" s="9">
        <v>9.3000000000000007</v>
      </c>
      <c r="CF327" s="9">
        <v>2.79</v>
      </c>
      <c r="CG327" s="9">
        <v>1.1399999999999999</v>
      </c>
      <c r="CI327" s="9">
        <v>0.61</v>
      </c>
      <c r="CN327" s="9">
        <v>1.93</v>
      </c>
      <c r="CO327" s="9">
        <v>0.28000000000000003</v>
      </c>
      <c r="CP327" s="9">
        <v>1.85</v>
      </c>
      <c r="CQ327" s="9">
        <v>0.31</v>
      </c>
      <c r="CS327" s="9">
        <v>0.4</v>
      </c>
    </row>
    <row r="328" spans="1:98">
      <c r="A328" s="1" t="s">
        <v>289</v>
      </c>
      <c r="B328" s="4" t="s">
        <v>290</v>
      </c>
      <c r="C328" s="1" t="s">
        <v>560</v>
      </c>
      <c r="D328" s="63">
        <v>67.22</v>
      </c>
      <c r="E328" s="63">
        <v>2.93</v>
      </c>
      <c r="F328" s="1" t="s">
        <v>308</v>
      </c>
      <c r="G328" s="1" t="s">
        <v>220</v>
      </c>
      <c r="H328" s="1" t="s">
        <v>139</v>
      </c>
      <c r="I328" s="9">
        <v>589.1</v>
      </c>
      <c r="J328" s="38" t="s">
        <v>256</v>
      </c>
      <c r="L328" s="4" t="s">
        <v>426</v>
      </c>
      <c r="M328" s="78" t="s">
        <v>866</v>
      </c>
      <c r="N328" s="78"/>
      <c r="Q328" s="1" t="s">
        <v>312</v>
      </c>
      <c r="R328" s="4">
        <v>48.1</v>
      </c>
      <c r="S328" s="1">
        <v>1.88</v>
      </c>
      <c r="T328" s="1">
        <v>15.1</v>
      </c>
      <c r="U328" s="1">
        <v>5.98</v>
      </c>
      <c r="V328" s="1">
        <v>5.56</v>
      </c>
      <c r="W328" s="1">
        <v>0.14000000000000001</v>
      </c>
      <c r="X328" s="1">
        <v>7.3</v>
      </c>
      <c r="Y328" s="1">
        <v>10.15</v>
      </c>
      <c r="Z328" s="1">
        <v>2.41</v>
      </c>
      <c r="AA328" s="1">
        <v>0.37</v>
      </c>
      <c r="AB328" s="1">
        <v>0.17</v>
      </c>
      <c r="AC328" s="9">
        <v>1.78</v>
      </c>
      <c r="AD328" s="23">
        <f t="shared" si="291"/>
        <v>98.940000000000012</v>
      </c>
      <c r="AE328" s="21">
        <f t="shared" si="292"/>
        <v>10.936019999999999</v>
      </c>
      <c r="AF328" s="23">
        <f t="shared" si="293"/>
        <v>0.54338017289545459</v>
      </c>
      <c r="AH328" s="16">
        <f t="shared" si="294"/>
        <v>49.505969534787972</v>
      </c>
      <c r="AI328" s="16">
        <f t="shared" si="294"/>
        <v>1.9349526554137504</v>
      </c>
      <c r="AJ328" s="16">
        <f t="shared" si="294"/>
        <v>15.541375051461506</v>
      </c>
      <c r="AK328" s="16">
        <f t="shared" si="294"/>
        <v>6.1547962124330997</v>
      </c>
      <c r="AL328" s="16">
        <f t="shared" si="294"/>
        <v>5.7225195553725809</v>
      </c>
      <c r="AM328" s="16">
        <f t="shared" si="294"/>
        <v>0.14409221902017291</v>
      </c>
      <c r="AN328" s="16">
        <f t="shared" si="294"/>
        <v>7.5133799917661577</v>
      </c>
      <c r="AO328" s="16">
        <f t="shared" si="294"/>
        <v>10.446685878962535</v>
      </c>
      <c r="AP328" s="16">
        <f t="shared" si="294"/>
        <v>2.4804446274186907</v>
      </c>
      <c r="AQ328" s="16">
        <f t="shared" si="294"/>
        <v>0.38081515026759977</v>
      </c>
      <c r="AR328" s="16">
        <f t="shared" si="294"/>
        <v>0.17496912309592422</v>
      </c>
      <c r="AS328" s="16">
        <f t="shared" si="295"/>
        <v>99.999999999999986</v>
      </c>
      <c r="AT328" s="16">
        <f t="shared" si="296"/>
        <v>11.255681350349938</v>
      </c>
      <c r="AV328" s="1" t="s">
        <v>428</v>
      </c>
      <c r="AY328" s="41"/>
      <c r="AZ328" s="41"/>
      <c r="BA328" s="41">
        <v>319</v>
      </c>
      <c r="BB328" s="41"/>
      <c r="BC328" s="41">
        <v>148</v>
      </c>
      <c r="BD328" s="41"/>
      <c r="BE328" s="41">
        <v>36</v>
      </c>
      <c r="BF328" s="41"/>
      <c r="BG328" s="41">
        <v>87</v>
      </c>
      <c r="BH328" s="41"/>
      <c r="BI328" s="41">
        <v>86</v>
      </c>
      <c r="BJ328" s="41"/>
      <c r="BK328" s="41">
        <v>102</v>
      </c>
      <c r="BL328" s="41"/>
      <c r="BM328" s="41"/>
      <c r="BN328" s="41">
        <v>15</v>
      </c>
      <c r="BO328" s="41"/>
      <c r="BP328" s="41"/>
      <c r="BQ328" s="41">
        <v>225</v>
      </c>
      <c r="BR328" s="41"/>
      <c r="BS328" s="41">
        <v>31</v>
      </c>
      <c r="BT328" s="41"/>
      <c r="BU328" s="41">
        <v>104</v>
      </c>
      <c r="BV328" s="41"/>
      <c r="BW328" s="41">
        <v>5</v>
      </c>
    </row>
    <row r="329" spans="1:98">
      <c r="A329" s="1" t="s">
        <v>289</v>
      </c>
      <c r="B329" s="4" t="s">
        <v>290</v>
      </c>
      <c r="C329" s="40" t="s">
        <v>672</v>
      </c>
      <c r="D329" s="63">
        <v>67.22</v>
      </c>
      <c r="E329" s="63">
        <v>2.93</v>
      </c>
      <c r="F329" s="1" t="s">
        <v>308</v>
      </c>
      <c r="G329" s="4"/>
      <c r="H329" s="4"/>
      <c r="J329" s="38" t="s">
        <v>256</v>
      </c>
      <c r="K329" s="40"/>
      <c r="L329" s="4" t="s">
        <v>423</v>
      </c>
      <c r="M329" s="78" t="s">
        <v>867</v>
      </c>
      <c r="N329" s="78"/>
      <c r="O329" s="4"/>
      <c r="P329" s="4"/>
      <c r="Q329" s="4"/>
      <c r="AD329" s="23"/>
      <c r="AE329" s="23"/>
      <c r="AF329" s="23"/>
      <c r="AG329" s="45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45"/>
      <c r="AV329" s="4"/>
      <c r="AY329" s="39">
        <v>34.56</v>
      </c>
      <c r="BR329" s="39">
        <v>33.32</v>
      </c>
      <c r="BS329" s="39"/>
      <c r="BT329" s="39">
        <v>126.09</v>
      </c>
      <c r="BV329" s="39">
        <v>8.34</v>
      </c>
      <c r="BW329" s="39"/>
      <c r="CA329" s="39">
        <v>46.37</v>
      </c>
      <c r="CB329" s="39">
        <v>6.62</v>
      </c>
      <c r="CC329" s="39">
        <v>19.61</v>
      </c>
      <c r="CD329" s="39">
        <v>2.96</v>
      </c>
      <c r="CE329" s="39">
        <v>15.75</v>
      </c>
      <c r="CF329" s="39">
        <v>4.92</v>
      </c>
      <c r="CG329" s="39">
        <v>1.72</v>
      </c>
      <c r="CH329" s="39">
        <v>5.81</v>
      </c>
      <c r="CI329" s="39">
        <v>1.03</v>
      </c>
      <c r="CJ329" s="39">
        <v>6.27</v>
      </c>
      <c r="CK329" s="39">
        <v>1.26</v>
      </c>
      <c r="CL329" s="39">
        <v>3.46</v>
      </c>
      <c r="CM329" s="39">
        <v>0.53</v>
      </c>
      <c r="CN329" s="39">
        <v>3.16</v>
      </c>
      <c r="CO329" s="39">
        <v>0.48</v>
      </c>
      <c r="CP329" s="39">
        <v>3.39</v>
      </c>
      <c r="CQ329" s="39">
        <v>0.49</v>
      </c>
      <c r="CR329" s="39">
        <v>0.33</v>
      </c>
      <c r="CS329" s="39">
        <v>0.6</v>
      </c>
      <c r="CT329" s="39">
        <v>0.15</v>
      </c>
    </row>
    <row r="330" spans="1:98">
      <c r="A330" s="1" t="s">
        <v>289</v>
      </c>
      <c r="B330" s="4" t="s">
        <v>290</v>
      </c>
      <c r="C330" s="40" t="s">
        <v>673</v>
      </c>
      <c r="D330" s="63">
        <v>67.22</v>
      </c>
      <c r="E330" s="63">
        <v>2.93</v>
      </c>
      <c r="F330" s="1" t="s">
        <v>308</v>
      </c>
      <c r="G330" s="4"/>
      <c r="H330" s="4"/>
      <c r="J330" s="40" t="s">
        <v>256</v>
      </c>
      <c r="K330" s="40"/>
      <c r="L330" s="4" t="s">
        <v>423</v>
      </c>
      <c r="M330" s="78" t="s">
        <v>867</v>
      </c>
      <c r="N330" s="78"/>
      <c r="O330" s="4"/>
      <c r="P330" s="4"/>
      <c r="Q330" s="4"/>
      <c r="AD330" s="23"/>
      <c r="AE330" s="23"/>
      <c r="AF330" s="23"/>
      <c r="AG330" s="45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45"/>
      <c r="AV330" s="4"/>
      <c r="AY330" s="39">
        <v>26.68</v>
      </c>
      <c r="BR330" s="39">
        <v>73.58</v>
      </c>
      <c r="BS330" s="39"/>
      <c r="BT330" s="39">
        <v>250.24</v>
      </c>
      <c r="BV330" s="39">
        <v>28.67</v>
      </c>
      <c r="BW330" s="39"/>
      <c r="CA330" s="39">
        <v>93.6</v>
      </c>
      <c r="CB330" s="39">
        <v>24.56</v>
      </c>
      <c r="CC330" s="39">
        <v>55.99</v>
      </c>
      <c r="CD330" s="39">
        <v>10.06</v>
      </c>
      <c r="CE330" s="39">
        <v>45.26</v>
      </c>
      <c r="CF330" s="39">
        <v>11.24</v>
      </c>
      <c r="CG330" s="39">
        <v>3.26</v>
      </c>
      <c r="CH330" s="39">
        <v>12.31</v>
      </c>
      <c r="CI330" s="39">
        <v>2.09</v>
      </c>
      <c r="CJ330" s="39">
        <v>11.59</v>
      </c>
      <c r="CK330" s="39">
        <v>2.5</v>
      </c>
      <c r="CL330" s="39">
        <v>7.02</v>
      </c>
      <c r="CM330" s="39">
        <v>1.1599999999999999</v>
      </c>
      <c r="CN330" s="39">
        <v>6.89</v>
      </c>
      <c r="CO330" s="39">
        <v>1.1000000000000001</v>
      </c>
      <c r="CP330" s="39">
        <v>5.99</v>
      </c>
      <c r="CQ330" s="39">
        <v>1.85</v>
      </c>
      <c r="CR330" s="39">
        <v>3.21</v>
      </c>
      <c r="CS330" s="39">
        <v>1.66</v>
      </c>
      <c r="CT330" s="39">
        <v>0.72</v>
      </c>
    </row>
    <row r="331" spans="1:98">
      <c r="A331" s="1" t="s">
        <v>289</v>
      </c>
      <c r="B331" s="4" t="s">
        <v>290</v>
      </c>
      <c r="C331" s="1" t="s">
        <v>561</v>
      </c>
      <c r="D331" s="63">
        <v>67.22</v>
      </c>
      <c r="E331" s="63">
        <v>2.93</v>
      </c>
      <c r="F331" s="1" t="s">
        <v>308</v>
      </c>
      <c r="G331" s="1" t="s">
        <v>192</v>
      </c>
      <c r="H331" s="1" t="s">
        <v>139</v>
      </c>
      <c r="I331" s="9">
        <v>592.79999999999995</v>
      </c>
      <c r="J331" s="38" t="s">
        <v>256</v>
      </c>
      <c r="L331" s="4" t="s">
        <v>426</v>
      </c>
      <c r="M331" s="78" t="s">
        <v>866</v>
      </c>
      <c r="N331" s="78"/>
      <c r="Q331" s="1" t="s">
        <v>312</v>
      </c>
      <c r="R331" s="4">
        <v>48.1</v>
      </c>
      <c r="S331" s="1">
        <v>1.77</v>
      </c>
      <c r="T331" s="1">
        <v>15.19</v>
      </c>
      <c r="U331" s="1">
        <v>7.73</v>
      </c>
      <c r="V331" s="1">
        <v>4.4000000000000004</v>
      </c>
      <c r="W331" s="1">
        <v>0.12</v>
      </c>
      <c r="X331" s="1">
        <v>7.73</v>
      </c>
      <c r="Y331" s="1">
        <v>9.98</v>
      </c>
      <c r="Z331" s="1">
        <v>2.39</v>
      </c>
      <c r="AA331" s="1">
        <v>0.16</v>
      </c>
      <c r="AB331" s="1">
        <v>0.16</v>
      </c>
      <c r="AC331" s="9">
        <v>1.68</v>
      </c>
      <c r="AD331" s="23">
        <f>SUM(R331:AB331)+AC331</f>
        <v>99.410000000000025</v>
      </c>
      <c r="AE331" s="21">
        <f>V331+0.899*U331</f>
        <v>11.349270000000001</v>
      </c>
      <c r="AF331" s="23">
        <f>(X331/40.3)/((X331/40.3)+(AE331/71.844))</f>
        <v>0.54837348944306319</v>
      </c>
      <c r="AH331" s="16">
        <f t="shared" ref="AH331:AR333" si="297">100*R331/SUM($R331:$AB331)</f>
        <v>49.217231147037751</v>
      </c>
      <c r="AI331" s="16">
        <f t="shared" si="297"/>
        <v>1.8111122480302873</v>
      </c>
      <c r="AJ331" s="16">
        <f t="shared" si="297"/>
        <v>15.542822060779697</v>
      </c>
      <c r="AK331" s="16">
        <f t="shared" si="297"/>
        <v>7.9095467103243617</v>
      </c>
      <c r="AL331" s="16">
        <f t="shared" si="297"/>
        <v>4.5021999386063642</v>
      </c>
      <c r="AM331" s="16">
        <f t="shared" si="297"/>
        <v>0.12278727105290083</v>
      </c>
      <c r="AN331" s="16">
        <f t="shared" si="297"/>
        <v>7.9095467103243617</v>
      </c>
      <c r="AO331" s="16">
        <f t="shared" si="297"/>
        <v>10.211808042566252</v>
      </c>
      <c r="AP331" s="16">
        <f t="shared" si="297"/>
        <v>2.4455131484702748</v>
      </c>
      <c r="AQ331" s="16">
        <f t="shared" si="297"/>
        <v>0.16371636140386778</v>
      </c>
      <c r="AR331" s="16">
        <f t="shared" si="297"/>
        <v>0.16371636140386778</v>
      </c>
      <c r="AS331" s="16">
        <f>SUM(AH331:AR331)</f>
        <v>99.999999999999986</v>
      </c>
      <c r="AT331" s="16">
        <f>AL331+0.899*AK331</f>
        <v>11.612882431187966</v>
      </c>
      <c r="AV331" s="1" t="s">
        <v>428</v>
      </c>
      <c r="AY331" s="41"/>
      <c r="AZ331" s="41"/>
      <c r="BA331" s="41">
        <v>294</v>
      </c>
      <c r="BB331" s="41"/>
      <c r="BC331" s="41">
        <v>154</v>
      </c>
      <c r="BD331" s="41"/>
      <c r="BE331" s="41">
        <v>44</v>
      </c>
      <c r="BF331" s="41"/>
      <c r="BG331" s="41">
        <v>84</v>
      </c>
      <c r="BH331" s="41"/>
      <c r="BI331" s="41">
        <v>164</v>
      </c>
      <c r="BJ331" s="41"/>
      <c r="BK331" s="41">
        <v>76</v>
      </c>
      <c r="BL331" s="41"/>
      <c r="BM331" s="41"/>
      <c r="BN331" s="41">
        <v>8</v>
      </c>
      <c r="BO331" s="41"/>
      <c r="BP331" s="41"/>
      <c r="BQ331" s="41">
        <v>223</v>
      </c>
      <c r="BR331" s="41"/>
      <c r="BS331" s="41">
        <v>31</v>
      </c>
      <c r="BT331" s="41"/>
      <c r="BU331" s="41">
        <v>99</v>
      </c>
      <c r="BV331" s="41"/>
      <c r="BW331" s="41">
        <v>5</v>
      </c>
    </row>
    <row r="332" spans="1:98">
      <c r="A332" s="1" t="s">
        <v>289</v>
      </c>
      <c r="B332" s="4" t="s">
        <v>290</v>
      </c>
      <c r="C332" s="1" t="s">
        <v>562</v>
      </c>
      <c r="D332" s="63">
        <v>67.22</v>
      </c>
      <c r="E332" s="63">
        <v>2.93</v>
      </c>
      <c r="F332" s="1" t="s">
        <v>308</v>
      </c>
      <c r="G332" s="1" t="s">
        <v>226</v>
      </c>
      <c r="H332" s="1" t="s">
        <v>139</v>
      </c>
      <c r="I332" s="9">
        <v>594.6</v>
      </c>
      <c r="J332" s="38" t="s">
        <v>256</v>
      </c>
      <c r="L332" s="4" t="s">
        <v>426</v>
      </c>
      <c r="M332" s="78" t="s">
        <v>866</v>
      </c>
      <c r="N332" s="78"/>
      <c r="Q332" s="1" t="s">
        <v>312</v>
      </c>
      <c r="R332" s="4">
        <v>48.4</v>
      </c>
      <c r="S332" s="1">
        <v>1.99</v>
      </c>
      <c r="T332" s="1">
        <v>14.65</v>
      </c>
      <c r="U332" s="1">
        <v>6.54</v>
      </c>
      <c r="V332" s="1">
        <v>5.43</v>
      </c>
      <c r="W332" s="1">
        <v>0.12</v>
      </c>
      <c r="X332" s="1">
        <v>7.71</v>
      </c>
      <c r="Y332" s="1">
        <v>9.6300000000000008</v>
      </c>
      <c r="Z332" s="1">
        <v>2.54</v>
      </c>
      <c r="AA332" s="1">
        <v>0.47</v>
      </c>
      <c r="AB332" s="1">
        <v>0.17</v>
      </c>
      <c r="AC332" s="9">
        <v>1.71</v>
      </c>
      <c r="AD332" s="23">
        <f>SUM(R332:AB332)+AC332</f>
        <v>99.360000000000014</v>
      </c>
      <c r="AE332" s="21">
        <f>V332+0.899*U332</f>
        <v>11.30946</v>
      </c>
      <c r="AF332" s="23">
        <f>(X332/40.3)/((X332/40.3)+(AE332/71.844))</f>
        <v>0.54860212042550416</v>
      </c>
      <c r="AH332" s="16">
        <f t="shared" si="297"/>
        <v>49.564772145417294</v>
      </c>
      <c r="AI332" s="16">
        <f t="shared" si="297"/>
        <v>2.0378904249871987</v>
      </c>
      <c r="AJ332" s="16">
        <f t="shared" si="297"/>
        <v>15.002560163850484</v>
      </c>
      <c r="AK332" s="16">
        <f t="shared" si="297"/>
        <v>6.6973886328725021</v>
      </c>
      <c r="AL332" s="16">
        <f t="shared" si="297"/>
        <v>5.5606758832565273</v>
      </c>
      <c r="AM332" s="16">
        <f t="shared" si="297"/>
        <v>0.12288786482334867</v>
      </c>
      <c r="AN332" s="16">
        <f t="shared" si="297"/>
        <v>7.8955453149001524</v>
      </c>
      <c r="AO332" s="16">
        <f t="shared" si="297"/>
        <v>9.8617511520737313</v>
      </c>
      <c r="AP332" s="16">
        <f t="shared" si="297"/>
        <v>2.6011264720942133</v>
      </c>
      <c r="AQ332" s="16">
        <f t="shared" si="297"/>
        <v>0.48131080389144898</v>
      </c>
      <c r="AR332" s="16">
        <f t="shared" si="297"/>
        <v>0.17409114183307728</v>
      </c>
      <c r="AS332" s="16">
        <f>SUM(AH332:AR332)</f>
        <v>99.999999999999972</v>
      </c>
      <c r="AT332" s="16">
        <f>AL332+0.899*AK332</f>
        <v>11.581628264208906</v>
      </c>
      <c r="AV332" s="1" t="s">
        <v>428</v>
      </c>
      <c r="AY332" s="41"/>
      <c r="AZ332" s="41"/>
      <c r="BA332" s="41">
        <v>319</v>
      </c>
      <c r="BB332" s="41"/>
      <c r="BC332" s="41">
        <v>149</v>
      </c>
      <c r="BD332" s="41"/>
      <c r="BE332" s="41">
        <v>40</v>
      </c>
      <c r="BF332" s="41"/>
      <c r="BG332" s="41">
        <v>79</v>
      </c>
      <c r="BH332" s="41"/>
      <c r="BI332" s="41">
        <v>181</v>
      </c>
      <c r="BJ332" s="41"/>
      <c r="BK332" s="41">
        <v>86</v>
      </c>
      <c r="BL332" s="41"/>
      <c r="BM332" s="41"/>
      <c r="BN332" s="41">
        <v>10</v>
      </c>
      <c r="BO332" s="41"/>
      <c r="BP332" s="41"/>
      <c r="BQ332" s="41">
        <v>222</v>
      </c>
      <c r="BR332" s="41"/>
      <c r="BS332" s="41">
        <v>28</v>
      </c>
      <c r="BT332" s="41"/>
      <c r="BU332" s="41">
        <v>12</v>
      </c>
      <c r="BV332" s="41"/>
      <c r="BW332" s="41">
        <v>6</v>
      </c>
    </row>
    <row r="333" spans="1:98">
      <c r="A333" s="1" t="s">
        <v>289</v>
      </c>
      <c r="B333" s="4" t="s">
        <v>290</v>
      </c>
      <c r="C333" s="1" t="s">
        <v>563</v>
      </c>
      <c r="D333" s="63">
        <v>67.22</v>
      </c>
      <c r="E333" s="63">
        <v>2.93</v>
      </c>
      <c r="F333" s="1" t="s">
        <v>308</v>
      </c>
      <c r="G333" s="1" t="s">
        <v>181</v>
      </c>
      <c r="H333" s="1" t="s">
        <v>139</v>
      </c>
      <c r="I333" s="9">
        <v>607</v>
      </c>
      <c r="J333" s="38" t="s">
        <v>256</v>
      </c>
      <c r="L333" s="4" t="s">
        <v>426</v>
      </c>
      <c r="M333" s="78" t="s">
        <v>866</v>
      </c>
      <c r="N333" s="78"/>
      <c r="Q333" s="1" t="s">
        <v>312</v>
      </c>
      <c r="R333" s="4">
        <v>49</v>
      </c>
      <c r="S333" s="1">
        <v>2.1</v>
      </c>
      <c r="T333" s="1">
        <v>14.78</v>
      </c>
      <c r="U333" s="1">
        <v>4.71</v>
      </c>
      <c r="V333" s="1">
        <v>6.81</v>
      </c>
      <c r="W333" s="1">
        <v>0.28999999999999998</v>
      </c>
      <c r="X333" s="1">
        <v>7.69</v>
      </c>
      <c r="Y333" s="1">
        <v>10.71</v>
      </c>
      <c r="Z333" s="1">
        <v>2.4</v>
      </c>
      <c r="AA333" s="1">
        <v>0.18</v>
      </c>
      <c r="AB333" s="1">
        <v>0.2</v>
      </c>
      <c r="AC333" s="9">
        <v>1.47</v>
      </c>
      <c r="AD333" s="23">
        <f>SUM(R333:AB333)+AC333</f>
        <v>100.34000000000002</v>
      </c>
      <c r="AE333" s="21">
        <f>V333+0.899*U333</f>
        <v>11.04429</v>
      </c>
      <c r="AF333" s="23">
        <f>(X333/40.3)/((X333/40.3)+(AE333/71.844))</f>
        <v>0.55382879632333459</v>
      </c>
      <c r="AH333" s="16">
        <f t="shared" si="297"/>
        <v>49.560028320016173</v>
      </c>
      <c r="AI333" s="16">
        <f t="shared" si="297"/>
        <v>2.1240012137149789</v>
      </c>
      <c r="AJ333" s="16">
        <f t="shared" si="297"/>
        <v>14.948922827955899</v>
      </c>
      <c r="AK333" s="16">
        <f t="shared" si="297"/>
        <v>4.7638312936178808</v>
      </c>
      <c r="AL333" s="16">
        <f t="shared" si="297"/>
        <v>6.8878325073328597</v>
      </c>
      <c r="AM333" s="16">
        <f t="shared" si="297"/>
        <v>0.29331445332254469</v>
      </c>
      <c r="AN333" s="16">
        <f t="shared" si="297"/>
        <v>7.7778901587943752</v>
      </c>
      <c r="AO333" s="16">
        <f t="shared" si="297"/>
        <v>10.832406189946392</v>
      </c>
      <c r="AP333" s="16">
        <f t="shared" si="297"/>
        <v>2.4274299585314045</v>
      </c>
      <c r="AQ333" s="16">
        <f t="shared" si="297"/>
        <v>0.18205724688985533</v>
      </c>
      <c r="AR333" s="16">
        <f t="shared" si="297"/>
        <v>0.20228582987761703</v>
      </c>
      <c r="AS333" s="16">
        <f>SUM(AH333:AR333)</f>
        <v>99.999999999999986</v>
      </c>
      <c r="AT333" s="16">
        <f>AL333+0.899*AK333</f>
        <v>11.170516840295335</v>
      </c>
      <c r="AV333" s="1" t="s">
        <v>428</v>
      </c>
      <c r="AY333" s="41">
        <v>41.1</v>
      </c>
      <c r="AZ333" s="41"/>
      <c r="BA333" s="41">
        <v>340</v>
      </c>
      <c r="BB333" s="41"/>
      <c r="BC333" s="41">
        <v>252</v>
      </c>
      <c r="BD333" s="41"/>
      <c r="BE333" s="41">
        <v>46.8</v>
      </c>
      <c r="BF333" s="41"/>
      <c r="BG333" s="41">
        <v>88</v>
      </c>
      <c r="BH333" s="41"/>
      <c r="BI333" s="41">
        <v>193</v>
      </c>
      <c r="BJ333" s="41"/>
      <c r="BK333" s="41">
        <v>102</v>
      </c>
      <c r="BL333" s="41"/>
      <c r="BM333" s="41"/>
      <c r="BN333" s="41">
        <v>4</v>
      </c>
      <c r="BO333" s="41"/>
      <c r="BP333" s="41"/>
      <c r="BQ333" s="41">
        <v>215</v>
      </c>
      <c r="BR333" s="41"/>
      <c r="BS333" s="41">
        <v>31</v>
      </c>
      <c r="BT333" s="41"/>
      <c r="BU333" s="41">
        <v>122</v>
      </c>
      <c r="BV333" s="41"/>
      <c r="BW333" s="41">
        <v>6</v>
      </c>
      <c r="CB333" s="9">
        <v>4.7</v>
      </c>
      <c r="CC333" s="9">
        <v>12.9</v>
      </c>
      <c r="CE333" s="9">
        <v>9.8000000000000007</v>
      </c>
      <c r="CF333" s="9">
        <v>3.12</v>
      </c>
      <c r="CG333" s="9">
        <v>1.22</v>
      </c>
      <c r="CI333" s="9">
        <v>0.67</v>
      </c>
      <c r="CN333" s="9">
        <v>2.29</v>
      </c>
      <c r="CO333" s="9">
        <v>0.35</v>
      </c>
      <c r="CP333" s="9">
        <v>2.02</v>
      </c>
      <c r="CQ333" s="9">
        <v>0.33</v>
      </c>
      <c r="CS333" s="9">
        <v>0.44</v>
      </c>
    </row>
    <row r="334" spans="1:98">
      <c r="A334" s="1" t="s">
        <v>289</v>
      </c>
      <c r="B334" s="4" t="s">
        <v>290</v>
      </c>
      <c r="C334" s="40" t="s">
        <v>674</v>
      </c>
      <c r="D334" s="63">
        <v>67.22</v>
      </c>
      <c r="E334" s="63">
        <v>2.93</v>
      </c>
      <c r="F334" s="1" t="s">
        <v>308</v>
      </c>
      <c r="G334" s="4"/>
      <c r="H334" s="4"/>
      <c r="J334" s="38" t="s">
        <v>256</v>
      </c>
      <c r="K334" s="40"/>
      <c r="L334" s="4" t="s">
        <v>423</v>
      </c>
      <c r="M334" s="78" t="s">
        <v>867</v>
      </c>
      <c r="N334" s="78"/>
      <c r="O334" s="4"/>
      <c r="P334" s="4"/>
      <c r="Q334" s="4"/>
      <c r="AD334" s="23"/>
      <c r="AE334" s="23"/>
      <c r="AF334" s="23"/>
      <c r="AG334" s="45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45"/>
      <c r="AV334" s="4"/>
      <c r="AY334" s="39">
        <v>36.770000000000003</v>
      </c>
      <c r="BR334" s="39">
        <v>31.96</v>
      </c>
      <c r="BS334" s="39"/>
      <c r="BT334" s="39">
        <v>116.1</v>
      </c>
      <c r="BV334" s="39">
        <v>7.83</v>
      </c>
      <c r="BW334" s="39"/>
      <c r="CA334" s="39">
        <v>34.28</v>
      </c>
      <c r="CB334" s="39">
        <v>6.73</v>
      </c>
      <c r="CC334" s="39">
        <v>17.7</v>
      </c>
      <c r="CD334" s="39">
        <v>2.68</v>
      </c>
      <c r="CE334" s="39">
        <v>14.27</v>
      </c>
      <c r="CF334" s="39">
        <v>4.45</v>
      </c>
      <c r="CG334" s="39">
        <v>1.56</v>
      </c>
      <c r="CH334" s="39">
        <v>5.31</v>
      </c>
      <c r="CI334" s="39">
        <v>0.94</v>
      </c>
      <c r="CJ334" s="39">
        <v>5.69</v>
      </c>
      <c r="CK334" s="39">
        <v>1.1499999999999999</v>
      </c>
      <c r="CL334" s="39">
        <v>3.15</v>
      </c>
      <c r="CM334" s="39">
        <v>0.46</v>
      </c>
      <c r="CN334" s="39">
        <v>2.67</v>
      </c>
      <c r="CO334" s="39">
        <v>0.39</v>
      </c>
      <c r="CP334" s="39">
        <v>3.1</v>
      </c>
      <c r="CQ334" s="39">
        <v>0.43</v>
      </c>
      <c r="CR334" s="39">
        <v>0.44</v>
      </c>
      <c r="CS334" s="39">
        <v>0.56000000000000005</v>
      </c>
      <c r="CT334" s="39">
        <v>0.17</v>
      </c>
    </row>
    <row r="335" spans="1:98">
      <c r="A335" s="1" t="s">
        <v>289</v>
      </c>
      <c r="B335" s="4" t="s">
        <v>290</v>
      </c>
      <c r="C335" s="1" t="s">
        <v>564</v>
      </c>
      <c r="D335" s="63">
        <v>67.22</v>
      </c>
      <c r="E335" s="63">
        <v>2.93</v>
      </c>
      <c r="F335" s="1" t="s">
        <v>308</v>
      </c>
      <c r="G335" s="1" t="s">
        <v>159</v>
      </c>
      <c r="H335" s="1" t="s">
        <v>139</v>
      </c>
      <c r="I335" s="9">
        <v>609.9</v>
      </c>
      <c r="J335" s="38" t="s">
        <v>256</v>
      </c>
      <c r="L335" s="4" t="s">
        <v>426</v>
      </c>
      <c r="M335" s="78" t="s">
        <v>866</v>
      </c>
      <c r="N335" s="78"/>
      <c r="Q335" s="1" t="s">
        <v>312</v>
      </c>
      <c r="R335" s="4">
        <v>47.6</v>
      </c>
      <c r="S335" s="1">
        <v>2.14</v>
      </c>
      <c r="T335" s="1">
        <v>14.63</v>
      </c>
      <c r="U335" s="1">
        <v>5.05</v>
      </c>
      <c r="V335" s="1">
        <v>6.34</v>
      </c>
      <c r="W335" s="1">
        <v>0.15</v>
      </c>
      <c r="X335" s="1">
        <v>7.77</v>
      </c>
      <c r="Y335" s="1">
        <v>10.85</v>
      </c>
      <c r="Z335" s="1">
        <v>2.4300000000000002</v>
      </c>
      <c r="AA335" s="1">
        <v>0.13</v>
      </c>
      <c r="AB335" s="1">
        <v>0.21</v>
      </c>
      <c r="AC335" s="9">
        <v>1.7</v>
      </c>
      <c r="AD335" s="23">
        <f>SUM(R335:AB335)+AC335</f>
        <v>99</v>
      </c>
      <c r="AE335" s="21">
        <f>V335+0.899*U335</f>
        <v>10.879950000000001</v>
      </c>
      <c r="AF335" s="23">
        <f>(X335/40.3)/((X335/40.3)+(AE335/71.844))</f>
        <v>0.56008182645661797</v>
      </c>
      <c r="AH335" s="16">
        <f t="shared" ref="AH335:AR336" si="298">100*R335/SUM($R335:$AB335)</f>
        <v>48.920863309352519</v>
      </c>
      <c r="AI335" s="16">
        <f t="shared" si="298"/>
        <v>2.1993833504624871</v>
      </c>
      <c r="AJ335" s="16">
        <f t="shared" si="298"/>
        <v>15.035971223021583</v>
      </c>
      <c r="AK335" s="16">
        <f t="shared" si="298"/>
        <v>5.1901336073997948</v>
      </c>
      <c r="AL335" s="16">
        <f t="shared" si="298"/>
        <v>6.5159301130524154</v>
      </c>
      <c r="AM335" s="16">
        <f t="shared" si="298"/>
        <v>0.15416238437821173</v>
      </c>
      <c r="AN335" s="16">
        <f t="shared" si="298"/>
        <v>7.985611510791367</v>
      </c>
      <c r="AO335" s="16">
        <f t="shared" si="298"/>
        <v>11.151079136690647</v>
      </c>
      <c r="AP335" s="16">
        <f t="shared" si="298"/>
        <v>2.4974306269270303</v>
      </c>
      <c r="AQ335" s="16">
        <f t="shared" si="298"/>
        <v>0.13360739979445016</v>
      </c>
      <c r="AR335" s="16">
        <f t="shared" si="298"/>
        <v>0.21582733812949642</v>
      </c>
      <c r="AS335" s="16">
        <f>SUM(AH335:AR335)</f>
        <v>100.00000000000001</v>
      </c>
      <c r="AT335" s="16">
        <f>AL335+0.899*AK335</f>
        <v>11.181860226104831</v>
      </c>
      <c r="AV335" s="1" t="s">
        <v>428</v>
      </c>
      <c r="AY335" s="41">
        <v>40.799999999999997</v>
      </c>
      <c r="AZ335" s="41"/>
      <c r="BA335" s="41">
        <v>337</v>
      </c>
      <c r="BB335" s="41"/>
      <c r="BC335" s="41">
        <v>310</v>
      </c>
      <c r="BD335" s="41"/>
      <c r="BE335" s="41">
        <v>46.6</v>
      </c>
      <c r="BF335" s="41"/>
      <c r="BG335" s="41">
        <v>118</v>
      </c>
      <c r="BH335" s="41"/>
      <c r="BI335" s="41">
        <v>99</v>
      </c>
      <c r="BJ335" s="41"/>
      <c r="BK335" s="41">
        <v>99</v>
      </c>
      <c r="BL335" s="41"/>
      <c r="BM335" s="41"/>
      <c r="BN335" s="41">
        <v>3</v>
      </c>
      <c r="BO335" s="41"/>
      <c r="BP335" s="41"/>
      <c r="BQ335" s="41">
        <v>233</v>
      </c>
      <c r="BR335" s="41"/>
      <c r="BS335" s="41">
        <v>31</v>
      </c>
      <c r="BT335" s="41"/>
      <c r="BU335" s="41">
        <v>124</v>
      </c>
      <c r="BV335" s="41"/>
      <c r="BW335" s="41">
        <v>8</v>
      </c>
      <c r="CB335" s="9">
        <v>5.3</v>
      </c>
      <c r="CC335" s="9">
        <v>14.5</v>
      </c>
      <c r="CE335" s="9">
        <v>12</v>
      </c>
      <c r="CF335" s="9">
        <v>3.75</v>
      </c>
      <c r="CG335" s="9">
        <v>1.39</v>
      </c>
      <c r="CI335" s="9">
        <v>0.81</v>
      </c>
      <c r="CN335" s="9">
        <v>2.62</v>
      </c>
      <c r="CO335" s="9">
        <v>0.37</v>
      </c>
      <c r="CP335" s="9">
        <v>2.52</v>
      </c>
      <c r="CQ335" s="9">
        <v>0.33</v>
      </c>
      <c r="CS335" s="9">
        <v>0.52</v>
      </c>
    </row>
    <row r="336" spans="1:98">
      <c r="A336" s="1" t="s">
        <v>289</v>
      </c>
      <c r="B336" s="4" t="s">
        <v>290</v>
      </c>
      <c r="C336" s="1" t="s">
        <v>565</v>
      </c>
      <c r="D336" s="63">
        <v>67.22</v>
      </c>
      <c r="E336" s="63">
        <v>2.93</v>
      </c>
      <c r="F336" s="1" t="s">
        <v>308</v>
      </c>
      <c r="G336" s="1" t="s">
        <v>245</v>
      </c>
      <c r="H336" s="1" t="s">
        <v>139</v>
      </c>
      <c r="I336" s="9">
        <v>614.70000000000005</v>
      </c>
      <c r="J336" s="38" t="s">
        <v>256</v>
      </c>
      <c r="L336" s="4" t="s">
        <v>426</v>
      </c>
      <c r="M336" s="78" t="s">
        <v>866</v>
      </c>
      <c r="N336" s="78"/>
      <c r="Q336" s="1" t="s">
        <v>312</v>
      </c>
      <c r="R336" s="4">
        <v>46.9</v>
      </c>
      <c r="S336" s="1">
        <v>1.8</v>
      </c>
      <c r="T336" s="1">
        <v>11.58</v>
      </c>
      <c r="U336" s="1">
        <v>12.5</v>
      </c>
      <c r="V336" s="1">
        <v>3.96</v>
      </c>
      <c r="W336" s="1">
        <v>0.08</v>
      </c>
      <c r="X336" s="1">
        <v>10.62</v>
      </c>
      <c r="Y336" s="1">
        <v>4.92</v>
      </c>
      <c r="Z336" s="1">
        <v>2.27</v>
      </c>
      <c r="AA336" s="1">
        <v>1.39</v>
      </c>
      <c r="AB336" s="1">
        <v>0.21</v>
      </c>
      <c r="AC336" s="9">
        <v>4.33</v>
      </c>
      <c r="AD336" s="23">
        <f>SUM(R336:AB336)+AC336</f>
        <v>100.55999999999999</v>
      </c>
      <c r="AE336" s="21">
        <f>V336+0.899*U336</f>
        <v>15.197500000000002</v>
      </c>
      <c r="AF336" s="23">
        <f>(X336/40.3)/((X336/40.3)+(AE336/71.844))</f>
        <v>0.55471840033912567</v>
      </c>
      <c r="AH336" s="16">
        <f t="shared" si="298"/>
        <v>48.737399979216462</v>
      </c>
      <c r="AI336" s="16">
        <f t="shared" si="298"/>
        <v>1.8705185493089476</v>
      </c>
      <c r="AJ336" s="16">
        <f t="shared" si="298"/>
        <v>12.033669333887563</v>
      </c>
      <c r="AK336" s="16">
        <f t="shared" si="298"/>
        <v>12.989712147978802</v>
      </c>
      <c r="AL336" s="16">
        <f t="shared" si="298"/>
        <v>4.1151408084796843</v>
      </c>
      <c r="AM336" s="16">
        <f t="shared" si="298"/>
        <v>8.3134157747064327E-2</v>
      </c>
      <c r="AN336" s="16">
        <f t="shared" si="298"/>
        <v>11.03605944092279</v>
      </c>
      <c r="AO336" s="16">
        <f t="shared" si="298"/>
        <v>5.1127507014444564</v>
      </c>
      <c r="AP336" s="16">
        <f t="shared" si="298"/>
        <v>2.3589317260729503</v>
      </c>
      <c r="AQ336" s="16">
        <f t="shared" si="298"/>
        <v>1.4444559908552428</v>
      </c>
      <c r="AR336" s="16">
        <f t="shared" si="298"/>
        <v>0.21822716408604387</v>
      </c>
      <c r="AS336" s="16">
        <f>SUM(AH336:AR336)</f>
        <v>100.00000000000001</v>
      </c>
      <c r="AT336" s="16">
        <f>AL336+0.899*AK336</f>
        <v>15.792892029512629</v>
      </c>
      <c r="AV336" s="1" t="s">
        <v>428</v>
      </c>
      <c r="AY336" s="41"/>
      <c r="AZ336" s="41"/>
      <c r="BA336" s="41">
        <v>241</v>
      </c>
      <c r="BB336" s="41"/>
      <c r="BC336" s="41">
        <v>239</v>
      </c>
      <c r="BD336" s="41"/>
      <c r="BE336" s="41">
        <v>45</v>
      </c>
      <c r="BF336" s="41"/>
      <c r="BG336" s="41">
        <v>104</v>
      </c>
      <c r="BH336" s="41"/>
      <c r="BI336" s="41">
        <v>147</v>
      </c>
      <c r="BJ336" s="41"/>
      <c r="BK336" s="41">
        <v>80</v>
      </c>
      <c r="BL336" s="41"/>
      <c r="BM336" s="41"/>
      <c r="BN336" s="41">
        <v>30</v>
      </c>
      <c r="BO336" s="41"/>
      <c r="BP336" s="41"/>
      <c r="BQ336" s="41">
        <v>139</v>
      </c>
      <c r="BR336" s="41"/>
      <c r="BS336" s="41">
        <v>46</v>
      </c>
      <c r="BT336" s="41"/>
      <c r="BU336" s="41">
        <v>113</v>
      </c>
      <c r="BV336" s="41"/>
      <c r="BW336" s="41">
        <v>8</v>
      </c>
    </row>
    <row r="337" spans="1:98">
      <c r="A337" s="1" t="s">
        <v>289</v>
      </c>
      <c r="B337" s="4" t="s">
        <v>290</v>
      </c>
      <c r="C337" s="40" t="s">
        <v>675</v>
      </c>
      <c r="D337" s="63">
        <v>67.22</v>
      </c>
      <c r="E337" s="63">
        <v>2.93</v>
      </c>
      <c r="F337" s="1" t="s">
        <v>308</v>
      </c>
      <c r="G337" s="4"/>
      <c r="H337" s="4"/>
      <c r="J337" s="40" t="s">
        <v>256</v>
      </c>
      <c r="K337" s="40"/>
      <c r="L337" s="4" t="s">
        <v>423</v>
      </c>
      <c r="M337" s="78" t="s">
        <v>867</v>
      </c>
      <c r="N337" s="78"/>
      <c r="O337" s="4"/>
      <c r="P337" s="4"/>
      <c r="Q337" s="4"/>
      <c r="AD337" s="23"/>
      <c r="AE337" s="23"/>
      <c r="AF337" s="23"/>
      <c r="AG337" s="45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45"/>
      <c r="AV337" s="4"/>
      <c r="AY337" s="39">
        <v>29.06</v>
      </c>
      <c r="BR337" s="39">
        <v>44.96</v>
      </c>
      <c r="BS337" s="39"/>
      <c r="BT337" s="39">
        <v>230.13</v>
      </c>
      <c r="BV337" s="39">
        <v>21.37</v>
      </c>
      <c r="BW337" s="39"/>
      <c r="CA337" s="39">
        <v>67.31</v>
      </c>
      <c r="CB337" s="39">
        <v>19.48</v>
      </c>
      <c r="CC337" s="39">
        <v>38.71</v>
      </c>
      <c r="CD337" s="39">
        <v>5.33</v>
      </c>
      <c r="CE337" s="39">
        <v>21.73</v>
      </c>
      <c r="CF337" s="39">
        <v>5.54</v>
      </c>
      <c r="CG337" s="39">
        <v>1.78</v>
      </c>
      <c r="CH337" s="39">
        <v>6.5</v>
      </c>
      <c r="CI337" s="39">
        <v>1.25</v>
      </c>
      <c r="CJ337" s="39">
        <v>7.66</v>
      </c>
      <c r="CK337" s="39">
        <v>1.85</v>
      </c>
      <c r="CL337" s="39">
        <v>5.5</v>
      </c>
      <c r="CM337" s="39">
        <v>0.92</v>
      </c>
      <c r="CN337" s="39">
        <v>5.34</v>
      </c>
      <c r="CO337" s="39">
        <v>0.85</v>
      </c>
      <c r="CP337" s="39">
        <v>5.78</v>
      </c>
      <c r="CQ337" s="39">
        <v>1.39</v>
      </c>
      <c r="CR337" s="39">
        <v>5.03</v>
      </c>
      <c r="CS337" s="39">
        <v>1.19</v>
      </c>
      <c r="CT337" s="39">
        <v>0.67</v>
      </c>
    </row>
    <row r="338" spans="1:98">
      <c r="A338" s="1" t="s">
        <v>289</v>
      </c>
      <c r="B338" s="4" t="s">
        <v>290</v>
      </c>
      <c r="C338" s="1" t="s">
        <v>566</v>
      </c>
      <c r="D338" s="63">
        <v>67.22</v>
      </c>
      <c r="E338" s="63">
        <v>2.93</v>
      </c>
      <c r="F338" s="1" t="s">
        <v>308</v>
      </c>
      <c r="G338" s="1" t="s">
        <v>167</v>
      </c>
      <c r="H338" s="1" t="s">
        <v>139</v>
      </c>
      <c r="I338" s="9">
        <v>626.70000000000005</v>
      </c>
      <c r="J338" s="38" t="s">
        <v>256</v>
      </c>
      <c r="L338" s="4" t="s">
        <v>426</v>
      </c>
      <c r="M338" s="78" t="s">
        <v>866</v>
      </c>
      <c r="N338" s="78"/>
      <c r="Q338" s="1" t="s">
        <v>312</v>
      </c>
      <c r="R338" s="4">
        <v>48</v>
      </c>
      <c r="S338" s="1">
        <v>1.7</v>
      </c>
      <c r="T338" s="1">
        <v>15.23</v>
      </c>
      <c r="U338" s="1">
        <v>4.41</v>
      </c>
      <c r="V338" s="1">
        <v>5.85</v>
      </c>
      <c r="W338" s="1">
        <v>0.15</v>
      </c>
      <c r="X338" s="1">
        <v>8.15</v>
      </c>
      <c r="Y338" s="1">
        <v>10.94</v>
      </c>
      <c r="Z338" s="1">
        <v>2.2999999999999998</v>
      </c>
      <c r="AA338" s="1">
        <v>0.12</v>
      </c>
      <c r="AB338" s="1">
        <v>0.16</v>
      </c>
      <c r="AC338" s="9">
        <v>1.98</v>
      </c>
      <c r="AD338" s="23">
        <f>SUM(R338:AB338)+AC338</f>
        <v>98.990000000000009</v>
      </c>
      <c r="AE338" s="21">
        <f>V338+0.899*U338</f>
        <v>9.814589999999999</v>
      </c>
      <c r="AF338" s="23">
        <f>(X338/40.3)/((X338/40.3)+(AE338/71.844))</f>
        <v>0.59683469203224149</v>
      </c>
      <c r="AH338" s="16">
        <f t="shared" ref="AH338:AR341" si="299">100*R338/SUM($R338:$AB338)</f>
        <v>49.479435109782493</v>
      </c>
      <c r="AI338" s="16">
        <f t="shared" si="299"/>
        <v>1.75239666013813</v>
      </c>
      <c r="AJ338" s="16">
        <f t="shared" si="299"/>
        <v>15.699412431708071</v>
      </c>
      <c r="AK338" s="16">
        <f t="shared" si="299"/>
        <v>4.545923100711267</v>
      </c>
      <c r="AL338" s="16">
        <f t="shared" si="299"/>
        <v>6.0303061540047418</v>
      </c>
      <c r="AM338" s="16">
        <f t="shared" si="299"/>
        <v>0.1546232347180703</v>
      </c>
      <c r="AN338" s="16">
        <f t="shared" si="299"/>
        <v>8.401195753015152</v>
      </c>
      <c r="AO338" s="16">
        <f t="shared" si="299"/>
        <v>11.27718791877126</v>
      </c>
      <c r="AP338" s="16">
        <f t="shared" si="299"/>
        <v>2.3708895990104111</v>
      </c>
      <c r="AQ338" s="16">
        <f t="shared" si="299"/>
        <v>0.12369858777445623</v>
      </c>
      <c r="AR338" s="16">
        <f t="shared" si="299"/>
        <v>0.16493145036594165</v>
      </c>
      <c r="AS338" s="16">
        <f>SUM(AH338:AR338)</f>
        <v>100.00000000000001</v>
      </c>
      <c r="AT338" s="16">
        <f>AL338+0.899*AK338</f>
        <v>10.117091021544171</v>
      </c>
      <c r="AV338" s="1" t="s">
        <v>428</v>
      </c>
      <c r="AY338" s="41"/>
      <c r="AZ338" s="41"/>
      <c r="BA338" s="41">
        <v>313</v>
      </c>
      <c r="BB338" s="41"/>
      <c r="BC338" s="41">
        <v>315</v>
      </c>
      <c r="BD338" s="41"/>
      <c r="BE338" s="41">
        <v>45</v>
      </c>
      <c r="BF338" s="41"/>
      <c r="BG338" s="41">
        <v>121</v>
      </c>
      <c r="BH338" s="41"/>
      <c r="BI338" s="41">
        <v>109</v>
      </c>
      <c r="BJ338" s="41"/>
      <c r="BK338" s="41">
        <v>94</v>
      </c>
      <c r="BL338" s="41"/>
      <c r="BM338" s="41"/>
      <c r="BN338" s="41">
        <v>3</v>
      </c>
      <c r="BO338" s="41"/>
      <c r="BP338" s="41"/>
      <c r="BQ338" s="41">
        <v>213</v>
      </c>
      <c r="BR338" s="41"/>
      <c r="BS338" s="41">
        <v>24</v>
      </c>
      <c r="BT338" s="41"/>
      <c r="BU338" s="41">
        <v>97</v>
      </c>
      <c r="BV338" s="41"/>
      <c r="BW338" s="41">
        <v>5</v>
      </c>
    </row>
    <row r="339" spans="1:98">
      <c r="A339" s="1" t="s">
        <v>289</v>
      </c>
      <c r="B339" s="4" t="s">
        <v>290</v>
      </c>
      <c r="C339" s="1" t="s">
        <v>567</v>
      </c>
      <c r="D339" s="63">
        <v>67.22</v>
      </c>
      <c r="E339" s="63">
        <v>2.93</v>
      </c>
      <c r="F339" s="1" t="s">
        <v>308</v>
      </c>
      <c r="G339" s="1" t="s">
        <v>138</v>
      </c>
      <c r="H339" s="1" t="s">
        <v>139</v>
      </c>
      <c r="I339" s="9">
        <v>636.6</v>
      </c>
      <c r="J339" s="38" t="s">
        <v>256</v>
      </c>
      <c r="L339" s="4" t="s">
        <v>426</v>
      </c>
      <c r="M339" s="78" t="s">
        <v>866</v>
      </c>
      <c r="N339" s="78"/>
      <c r="Q339" s="1" t="s">
        <v>312</v>
      </c>
      <c r="R339" s="4">
        <v>48.4</v>
      </c>
      <c r="S339" s="1">
        <v>1.86</v>
      </c>
      <c r="T339" s="1">
        <v>14.12</v>
      </c>
      <c r="U339" s="1">
        <v>5.97</v>
      </c>
      <c r="V339" s="1">
        <v>5.95</v>
      </c>
      <c r="W339" s="1">
        <v>0.21</v>
      </c>
      <c r="X339" s="1">
        <v>7.64</v>
      </c>
      <c r="Y339" s="1">
        <v>11.01</v>
      </c>
      <c r="Z339" s="1">
        <v>2.2999999999999998</v>
      </c>
      <c r="AA339" s="1">
        <v>0.08</v>
      </c>
      <c r="AB339" s="1">
        <v>0.17</v>
      </c>
      <c r="AC339" s="9">
        <v>1.64</v>
      </c>
      <c r="AD339" s="23">
        <f>SUM(R339:AB339)+AC339</f>
        <v>99.35</v>
      </c>
      <c r="AE339" s="21">
        <f>V339+0.899*U339</f>
        <v>11.317029999999999</v>
      </c>
      <c r="AF339" s="23">
        <f>(X339/40.3)/((X339/40.3)+(AE339/71.844))</f>
        <v>0.54617668278976728</v>
      </c>
      <c r="AH339" s="16">
        <f t="shared" si="299"/>
        <v>49.534336301299767</v>
      </c>
      <c r="AI339" s="16">
        <f t="shared" si="299"/>
        <v>1.9035922628185449</v>
      </c>
      <c r="AJ339" s="16">
        <f t="shared" si="299"/>
        <v>14.450926210213899</v>
      </c>
      <c r="AK339" s="16">
        <f t="shared" si="299"/>
        <v>6.1099171016272651</v>
      </c>
      <c r="AL339" s="16">
        <f t="shared" si="299"/>
        <v>6.0894483676184628</v>
      </c>
      <c r="AM339" s="16">
        <f t="shared" si="299"/>
        <v>0.21492170709241634</v>
      </c>
      <c r="AN339" s="16">
        <f t="shared" si="299"/>
        <v>7.8190563913621949</v>
      </c>
      <c r="AO339" s="16">
        <f t="shared" si="299"/>
        <v>11.268038071845258</v>
      </c>
      <c r="AP339" s="16">
        <f t="shared" si="299"/>
        <v>2.353904411012179</v>
      </c>
      <c r="AQ339" s="16">
        <f t="shared" si="299"/>
        <v>8.1874936035206222E-2</v>
      </c>
      <c r="AR339" s="16">
        <f t="shared" si="299"/>
        <v>0.17398423907481322</v>
      </c>
      <c r="AS339" s="16">
        <f>SUM(AH339:AR339)</f>
        <v>99.999999999999986</v>
      </c>
      <c r="AT339" s="16">
        <f>AL339+0.899*AK339</f>
        <v>11.582263841981375</v>
      </c>
      <c r="AV339" s="1" t="s">
        <v>428</v>
      </c>
      <c r="AY339" s="41">
        <v>41.6</v>
      </c>
      <c r="AZ339" s="41"/>
      <c r="BA339" s="41">
        <v>353</v>
      </c>
      <c r="BB339" s="41"/>
      <c r="BC339" s="41">
        <v>135</v>
      </c>
      <c r="BD339" s="41"/>
      <c r="BE339" s="41">
        <v>49.8</v>
      </c>
      <c r="BF339" s="41"/>
      <c r="BG339" s="41">
        <v>87</v>
      </c>
      <c r="BH339" s="41"/>
      <c r="BI339" s="41">
        <v>137</v>
      </c>
      <c r="BJ339" s="41"/>
      <c r="BK339" s="41">
        <v>101</v>
      </c>
      <c r="BL339" s="41"/>
      <c r="BM339" s="41"/>
      <c r="BN339" s="41">
        <v>6</v>
      </c>
      <c r="BO339" s="41"/>
      <c r="BP339" s="41"/>
      <c r="BQ339" s="41">
        <v>249</v>
      </c>
      <c r="BR339" s="41"/>
      <c r="BS339" s="41">
        <v>28</v>
      </c>
      <c r="BT339" s="41"/>
      <c r="BU339" s="41">
        <v>102</v>
      </c>
      <c r="BV339" s="41"/>
      <c r="BW339" s="41">
        <v>6</v>
      </c>
      <c r="CB339" s="9">
        <v>6.8</v>
      </c>
      <c r="CC339" s="9">
        <v>19.100000000000001</v>
      </c>
      <c r="CE339" s="9">
        <v>14.6</v>
      </c>
      <c r="CF339" s="9">
        <v>4.4400000000000004</v>
      </c>
      <c r="CG339" s="9">
        <v>1.62</v>
      </c>
      <c r="CI339" s="9">
        <v>0.95</v>
      </c>
      <c r="CN339" s="9">
        <v>3.09</v>
      </c>
      <c r="CO339" s="9">
        <v>0.45</v>
      </c>
      <c r="CP339" s="9">
        <v>3.11</v>
      </c>
      <c r="CQ339" s="9">
        <v>0.44</v>
      </c>
      <c r="CS339" s="9">
        <v>0.72</v>
      </c>
      <c r="CT339" s="9">
        <v>0.14000000000000001</v>
      </c>
    </row>
    <row r="340" spans="1:98">
      <c r="A340" s="1" t="s">
        <v>289</v>
      </c>
      <c r="B340" s="4" t="s">
        <v>290</v>
      </c>
      <c r="C340" s="1" t="s">
        <v>568</v>
      </c>
      <c r="D340" s="63">
        <v>67.22</v>
      </c>
      <c r="E340" s="63">
        <v>2.93</v>
      </c>
      <c r="F340" s="1" t="s">
        <v>308</v>
      </c>
      <c r="G340" s="1" t="s">
        <v>232</v>
      </c>
      <c r="H340" s="1" t="s">
        <v>139</v>
      </c>
      <c r="I340" s="9">
        <v>641.5</v>
      </c>
      <c r="J340" s="38" t="s">
        <v>256</v>
      </c>
      <c r="L340" s="4" t="s">
        <v>426</v>
      </c>
      <c r="M340" s="78" t="s">
        <v>866</v>
      </c>
      <c r="N340" s="78"/>
      <c r="Q340" s="1" t="s">
        <v>312</v>
      </c>
      <c r="R340" s="4">
        <v>47.5</v>
      </c>
      <c r="S340" s="1">
        <v>1.81</v>
      </c>
      <c r="T340" s="1">
        <v>15.63</v>
      </c>
      <c r="U340" s="1">
        <v>6.37</v>
      </c>
      <c r="V340" s="1">
        <v>5.18</v>
      </c>
      <c r="W340" s="1">
        <v>0.18</v>
      </c>
      <c r="X340" s="1">
        <v>9.24</v>
      </c>
      <c r="Y340" s="1">
        <v>6.81</v>
      </c>
      <c r="Z340" s="1">
        <v>2.74</v>
      </c>
      <c r="AA340" s="1">
        <v>0.56999999999999995</v>
      </c>
      <c r="AB340" s="1">
        <v>0.17</v>
      </c>
      <c r="AC340" s="9">
        <v>3.99</v>
      </c>
      <c r="AD340" s="23">
        <f>SUM(R340:AB340)+AC340</f>
        <v>100.19</v>
      </c>
      <c r="AE340" s="21">
        <f>V340+0.899*U340</f>
        <v>10.90663</v>
      </c>
      <c r="AF340" s="23">
        <f>(X340/40.3)/((X340/40.3)+(AE340/71.844))</f>
        <v>0.60164323948722209</v>
      </c>
      <c r="AH340" s="16">
        <f t="shared" si="299"/>
        <v>49.376299376299372</v>
      </c>
      <c r="AI340" s="16">
        <f t="shared" si="299"/>
        <v>1.8814968814968815</v>
      </c>
      <c r="AJ340" s="16">
        <f t="shared" si="299"/>
        <v>16.247401247401246</v>
      </c>
      <c r="AK340" s="16">
        <f t="shared" si="299"/>
        <v>6.621621621621621</v>
      </c>
      <c r="AL340" s="16">
        <f t="shared" si="299"/>
        <v>5.3846153846153841</v>
      </c>
      <c r="AM340" s="16">
        <f t="shared" si="299"/>
        <v>0.18711018711018709</v>
      </c>
      <c r="AN340" s="16">
        <f t="shared" si="299"/>
        <v>9.6049896049896049</v>
      </c>
      <c r="AO340" s="16">
        <f t="shared" si="299"/>
        <v>7.0790020790020787</v>
      </c>
      <c r="AP340" s="16">
        <f t="shared" si="299"/>
        <v>2.8482328482328483</v>
      </c>
      <c r="AQ340" s="16">
        <f t="shared" si="299"/>
        <v>0.59251559251559238</v>
      </c>
      <c r="AR340" s="16">
        <f t="shared" si="299"/>
        <v>0.1767151767151767</v>
      </c>
      <c r="AS340" s="16">
        <f>SUM(AH340:AR340)</f>
        <v>100.00000000000003</v>
      </c>
      <c r="AT340" s="16">
        <f>AL340+0.899*AK340</f>
        <v>11.33745322245322</v>
      </c>
      <c r="AV340" s="1" t="s">
        <v>428</v>
      </c>
      <c r="AY340" s="41"/>
      <c r="AZ340" s="41"/>
      <c r="BA340" s="41">
        <v>330</v>
      </c>
      <c r="BB340" s="41"/>
      <c r="BC340" s="41">
        <v>234</v>
      </c>
      <c r="BD340" s="41"/>
      <c r="BE340" s="41">
        <v>45</v>
      </c>
      <c r="BF340" s="41"/>
      <c r="BG340" s="41">
        <v>90</v>
      </c>
      <c r="BH340" s="41"/>
      <c r="BI340" s="41">
        <v>71</v>
      </c>
      <c r="BJ340" s="41"/>
      <c r="BK340" s="41">
        <v>105</v>
      </c>
      <c r="BL340" s="41"/>
      <c r="BM340" s="41"/>
      <c r="BN340" s="41"/>
      <c r="BO340" s="41"/>
      <c r="BP340" s="41"/>
      <c r="BQ340" s="41">
        <v>185</v>
      </c>
      <c r="BR340" s="41"/>
      <c r="BS340" s="41">
        <v>26</v>
      </c>
      <c r="BT340" s="41"/>
      <c r="BU340" s="41">
        <v>102</v>
      </c>
      <c r="BV340" s="41"/>
      <c r="BW340" s="41">
        <v>5</v>
      </c>
    </row>
    <row r="341" spans="1:98">
      <c r="A341" s="1" t="s">
        <v>289</v>
      </c>
      <c r="B341" s="4" t="s">
        <v>290</v>
      </c>
      <c r="C341" s="1" t="s">
        <v>569</v>
      </c>
      <c r="D341" s="63">
        <v>67.22</v>
      </c>
      <c r="E341" s="63">
        <v>2.93</v>
      </c>
      <c r="F341" s="1" t="s">
        <v>308</v>
      </c>
      <c r="G341" s="1" t="s">
        <v>210</v>
      </c>
      <c r="H341" s="1" t="s">
        <v>139</v>
      </c>
      <c r="I341" s="9">
        <v>645.29999999999995</v>
      </c>
      <c r="J341" s="38" t="s">
        <v>256</v>
      </c>
      <c r="L341" s="4" t="s">
        <v>426</v>
      </c>
      <c r="M341" s="78" t="s">
        <v>866</v>
      </c>
      <c r="N341" s="78"/>
      <c r="Q341" s="1" t="s">
        <v>312</v>
      </c>
      <c r="R341" s="4">
        <v>47.6</v>
      </c>
      <c r="S341" s="1">
        <v>1.73</v>
      </c>
      <c r="T341" s="1">
        <v>14.46</v>
      </c>
      <c r="U341" s="1">
        <v>7.2</v>
      </c>
      <c r="V341" s="1">
        <v>5.33</v>
      </c>
      <c r="W341" s="1">
        <v>0.15</v>
      </c>
      <c r="X341" s="1">
        <v>8.84</v>
      </c>
      <c r="Y341" s="1">
        <v>9.4499999999999993</v>
      </c>
      <c r="Z341" s="1">
        <v>2.37</v>
      </c>
      <c r="AA341" s="1">
        <v>0.23</v>
      </c>
      <c r="AB341" s="1">
        <v>0.17</v>
      </c>
      <c r="AC341" s="9">
        <v>2.17</v>
      </c>
      <c r="AD341" s="23">
        <f>SUM(R341:AB341)+AC341</f>
        <v>99.700000000000017</v>
      </c>
      <c r="AE341" s="21">
        <f>V341+0.899*U341</f>
        <v>11.802800000000001</v>
      </c>
      <c r="AF341" s="23">
        <f>(X341/40.3)/((X341/40.3)+(AE341/71.844))</f>
        <v>0.57177473531938394</v>
      </c>
      <c r="AH341" s="16">
        <f t="shared" si="299"/>
        <v>48.805495744898998</v>
      </c>
      <c r="AI341" s="16">
        <f t="shared" si="299"/>
        <v>1.7738131856864552</v>
      </c>
      <c r="AJ341" s="16">
        <f t="shared" si="299"/>
        <v>14.826207320824359</v>
      </c>
      <c r="AK341" s="16">
        <f t="shared" si="299"/>
        <v>7.3823438941864028</v>
      </c>
      <c r="AL341" s="16">
        <f t="shared" si="299"/>
        <v>5.464985132779657</v>
      </c>
      <c r="AM341" s="16">
        <f t="shared" si="299"/>
        <v>0.1537988311288834</v>
      </c>
      <c r="AN341" s="16">
        <f t="shared" si="299"/>
        <v>9.0638777811955276</v>
      </c>
      <c r="AO341" s="16">
        <f t="shared" si="299"/>
        <v>9.6893263611196527</v>
      </c>
      <c r="AP341" s="16">
        <f t="shared" si="299"/>
        <v>2.4300215318363576</v>
      </c>
      <c r="AQ341" s="16">
        <f t="shared" si="299"/>
        <v>0.2358248743976212</v>
      </c>
      <c r="AR341" s="16">
        <f t="shared" si="299"/>
        <v>0.17430534194606784</v>
      </c>
      <c r="AS341" s="16">
        <f>SUM(AH341:AR341)</f>
        <v>99.999999999999986</v>
      </c>
      <c r="AT341" s="16">
        <f>AL341+0.899*AK341</f>
        <v>12.101712293653232</v>
      </c>
      <c r="AV341" s="1" t="s">
        <v>428</v>
      </c>
      <c r="AY341" s="41"/>
      <c r="AZ341" s="41"/>
      <c r="BA341" s="41">
        <v>319</v>
      </c>
      <c r="BB341" s="41"/>
      <c r="BC341" s="41">
        <v>193</v>
      </c>
      <c r="BD341" s="41"/>
      <c r="BE341" s="41">
        <v>45</v>
      </c>
      <c r="BF341" s="41"/>
      <c r="BG341" s="41">
        <v>74</v>
      </c>
      <c r="BH341" s="41"/>
      <c r="BI341" s="41">
        <v>97</v>
      </c>
      <c r="BJ341" s="41"/>
      <c r="BK341" s="41">
        <v>104</v>
      </c>
      <c r="BL341" s="41"/>
      <c r="BM341" s="41"/>
      <c r="BN341" s="41">
        <v>3</v>
      </c>
      <c r="BO341" s="41"/>
      <c r="BP341" s="41"/>
      <c r="BQ341" s="41">
        <v>204</v>
      </c>
      <c r="BR341" s="41"/>
      <c r="BS341" s="41">
        <v>29</v>
      </c>
      <c r="BT341" s="41"/>
      <c r="BU341" s="41">
        <v>97</v>
      </c>
      <c r="BV341" s="41"/>
      <c r="BW341" s="41">
        <v>7</v>
      </c>
      <c r="CB341" s="9">
        <v>3.3</v>
      </c>
      <c r="CC341" s="9">
        <v>9.1999999999999993</v>
      </c>
      <c r="CE341" s="9">
        <v>7.5</v>
      </c>
      <c r="CF341" s="9">
        <v>2.39</v>
      </c>
      <c r="CG341" s="9">
        <v>0.94</v>
      </c>
      <c r="CI341" s="9">
        <v>0.56999999999999995</v>
      </c>
      <c r="CN341" s="9">
        <v>2.35</v>
      </c>
      <c r="CO341" s="9">
        <v>0.32</v>
      </c>
      <c r="CP341" s="9">
        <v>1.92</v>
      </c>
      <c r="CQ341" s="9">
        <v>0.25</v>
      </c>
      <c r="CS341" s="9">
        <v>0.59</v>
      </c>
    </row>
    <row r="342" spans="1:98">
      <c r="A342" s="1" t="s">
        <v>289</v>
      </c>
      <c r="B342" s="4" t="s">
        <v>290</v>
      </c>
      <c r="C342" s="40" t="s">
        <v>676</v>
      </c>
      <c r="D342" s="63">
        <v>67.22</v>
      </c>
      <c r="E342" s="63">
        <v>2.93</v>
      </c>
      <c r="F342" s="1" t="s">
        <v>308</v>
      </c>
      <c r="G342" s="4"/>
      <c r="H342" s="4"/>
      <c r="J342" s="38" t="s">
        <v>256</v>
      </c>
      <c r="K342" s="40"/>
      <c r="L342" s="4" t="s">
        <v>423</v>
      </c>
      <c r="M342" s="78" t="s">
        <v>867</v>
      </c>
      <c r="N342" s="78"/>
      <c r="O342" s="4"/>
      <c r="P342" s="4"/>
      <c r="Q342" s="4"/>
      <c r="AD342" s="23"/>
      <c r="AE342" s="23"/>
      <c r="AF342" s="23"/>
      <c r="AG342" s="45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45"/>
      <c r="AV342" s="4"/>
      <c r="AY342" s="39">
        <v>40.54</v>
      </c>
      <c r="BR342" s="39">
        <v>31.07</v>
      </c>
      <c r="BS342" s="39"/>
      <c r="BT342" s="39">
        <v>98.52</v>
      </c>
      <c r="BV342" s="39">
        <v>7.13</v>
      </c>
      <c r="BW342" s="39"/>
      <c r="CA342" s="39">
        <v>27.87</v>
      </c>
      <c r="CB342" s="39">
        <v>7.71</v>
      </c>
      <c r="CC342" s="39">
        <v>15.84</v>
      </c>
      <c r="CD342" s="39">
        <v>2.38</v>
      </c>
      <c r="CE342" s="39">
        <v>12.72</v>
      </c>
      <c r="CF342" s="39">
        <v>4</v>
      </c>
      <c r="CG342" s="39">
        <v>1.47</v>
      </c>
      <c r="CH342" s="39">
        <v>4.83</v>
      </c>
      <c r="CI342" s="39">
        <v>0.85</v>
      </c>
      <c r="CJ342" s="39">
        <v>5.22</v>
      </c>
      <c r="CK342" s="39">
        <v>1.05</v>
      </c>
      <c r="CL342" s="39">
        <v>2.94</v>
      </c>
      <c r="CM342" s="39">
        <v>0.44</v>
      </c>
      <c r="CN342" s="39">
        <v>2.62</v>
      </c>
      <c r="CO342" s="39">
        <v>0.39</v>
      </c>
      <c r="CP342" s="39">
        <v>2.5299999999999998</v>
      </c>
      <c r="CQ342" s="39">
        <v>0.39</v>
      </c>
      <c r="CR342" s="39"/>
      <c r="CS342" s="39">
        <v>0.45</v>
      </c>
      <c r="CT342" s="39">
        <v>0.1</v>
      </c>
    </row>
    <row r="343" spans="1:98">
      <c r="A343" s="1" t="s">
        <v>289</v>
      </c>
      <c r="B343" s="4" t="s">
        <v>290</v>
      </c>
      <c r="C343" s="1" t="s">
        <v>570</v>
      </c>
      <c r="D343" s="63">
        <v>67.22</v>
      </c>
      <c r="E343" s="63">
        <v>2.93</v>
      </c>
      <c r="F343" s="1" t="s">
        <v>308</v>
      </c>
      <c r="G343" s="1" t="s">
        <v>169</v>
      </c>
      <c r="H343" s="1" t="s">
        <v>139</v>
      </c>
      <c r="I343" s="9">
        <v>651.29999999999995</v>
      </c>
      <c r="J343" s="38" t="s">
        <v>256</v>
      </c>
      <c r="L343" s="4" t="s">
        <v>426</v>
      </c>
      <c r="M343" s="78" t="s">
        <v>866</v>
      </c>
      <c r="N343" s="78"/>
      <c r="Q343" s="1" t="s">
        <v>312</v>
      </c>
      <c r="R343" s="4">
        <v>47.8</v>
      </c>
      <c r="S343" s="1">
        <v>2.0499999999999998</v>
      </c>
      <c r="T343" s="1">
        <v>15.12</v>
      </c>
      <c r="U343" s="1">
        <v>5.88</v>
      </c>
      <c r="V343" s="1">
        <v>5.29</v>
      </c>
      <c r="W343" s="1">
        <v>0.17</v>
      </c>
      <c r="X343" s="1">
        <v>7.78</v>
      </c>
      <c r="Y343" s="1">
        <v>10.53</v>
      </c>
      <c r="Z343" s="1">
        <v>2.42</v>
      </c>
      <c r="AA343" s="1">
        <v>0.15</v>
      </c>
      <c r="AB343" s="1">
        <v>0.19</v>
      </c>
      <c r="AC343" s="9">
        <v>1.67</v>
      </c>
      <c r="AD343" s="23">
        <f>SUM(R343:AB343)+AC343</f>
        <v>99.050000000000011</v>
      </c>
      <c r="AE343" s="21">
        <f>V343+0.899*U343</f>
        <v>10.57612</v>
      </c>
      <c r="AF343" s="23">
        <f>(X343/40.3)/((X343/40.3)+(AE343/71.844))</f>
        <v>0.56736375361260172</v>
      </c>
      <c r="AH343" s="16">
        <f t="shared" ref="AH343:AR343" si="300">100*R343/SUM($R343:$AB343)</f>
        <v>49.086054631341135</v>
      </c>
      <c r="AI343" s="16">
        <f t="shared" si="300"/>
        <v>2.1051550626411988</v>
      </c>
      <c r="AJ343" s="16">
        <f t="shared" si="300"/>
        <v>15.526802218114602</v>
      </c>
      <c r="AK343" s="16">
        <f t="shared" si="300"/>
        <v>6.0382008626001227</v>
      </c>
      <c r="AL343" s="16">
        <f t="shared" si="300"/>
        <v>5.4323269665228997</v>
      </c>
      <c r="AM343" s="16">
        <f t="shared" si="300"/>
        <v>0.17457383446292871</v>
      </c>
      <c r="AN343" s="16">
        <f t="shared" si="300"/>
        <v>7.9893201889505026</v>
      </c>
      <c r="AO343" s="16">
        <f t="shared" si="300"/>
        <v>10.813308687615526</v>
      </c>
      <c r="AP343" s="16">
        <f t="shared" si="300"/>
        <v>2.4851098788252206</v>
      </c>
      <c r="AQ343" s="16">
        <f t="shared" si="300"/>
        <v>0.15403573629081946</v>
      </c>
      <c r="AR343" s="16">
        <f t="shared" si="300"/>
        <v>0.19511193263503798</v>
      </c>
      <c r="AS343" s="16">
        <f>SUM(AH343:AR343)</f>
        <v>100</v>
      </c>
      <c r="AT343" s="16">
        <f>AL343+0.899*AK343</f>
        <v>10.86066954200041</v>
      </c>
      <c r="AV343" s="1" t="s">
        <v>428</v>
      </c>
      <c r="AY343" s="41"/>
      <c r="AZ343" s="41"/>
      <c r="BA343" s="41">
        <v>353</v>
      </c>
      <c r="BB343" s="41"/>
      <c r="BC343" s="41">
        <v>285</v>
      </c>
      <c r="BD343" s="41"/>
      <c r="BE343" s="41">
        <v>42</v>
      </c>
      <c r="BF343" s="41"/>
      <c r="BG343" s="41">
        <v>103</v>
      </c>
      <c r="BH343" s="41"/>
      <c r="BI343" s="41">
        <v>205</v>
      </c>
      <c r="BJ343" s="41"/>
      <c r="BK343" s="41">
        <v>115</v>
      </c>
      <c r="BL343" s="41"/>
      <c r="BM343" s="41"/>
      <c r="BN343" s="41">
        <v>8</v>
      </c>
      <c r="BO343" s="41"/>
      <c r="BP343" s="41"/>
      <c r="BQ343" s="41">
        <v>209</v>
      </c>
      <c r="BR343" s="41"/>
      <c r="BS343" s="41">
        <v>37</v>
      </c>
      <c r="BT343" s="41"/>
      <c r="BU343" s="41">
        <v>120</v>
      </c>
      <c r="BV343" s="41"/>
      <c r="BW343" s="41">
        <v>8</v>
      </c>
      <c r="CB343" s="9">
        <v>7.6</v>
      </c>
      <c r="CC343" s="9">
        <v>21.4</v>
      </c>
      <c r="CE343" s="9">
        <v>16.2</v>
      </c>
      <c r="CF343" s="9">
        <v>5.0599999999999996</v>
      </c>
      <c r="CG343" s="9">
        <v>1.82</v>
      </c>
      <c r="CI343" s="9">
        <v>1.03</v>
      </c>
      <c r="CN343" s="9">
        <v>3.27</v>
      </c>
      <c r="CO343" s="9">
        <v>0.49</v>
      </c>
      <c r="CP343" s="9">
        <v>3.55</v>
      </c>
      <c r="CQ343" s="9">
        <v>0.55000000000000004</v>
      </c>
      <c r="CS343" s="9">
        <v>0.78</v>
      </c>
      <c r="CT343" s="9">
        <v>0.2</v>
      </c>
    </row>
    <row r="344" spans="1:98">
      <c r="A344" s="1" t="s">
        <v>289</v>
      </c>
      <c r="B344" s="4" t="s">
        <v>290</v>
      </c>
      <c r="C344" s="40" t="s">
        <v>677</v>
      </c>
      <c r="D344" s="63">
        <v>67.22</v>
      </c>
      <c r="E344" s="63">
        <v>2.93</v>
      </c>
      <c r="F344" s="1" t="s">
        <v>308</v>
      </c>
      <c r="G344" s="4"/>
      <c r="H344" s="4"/>
      <c r="J344" s="40" t="s">
        <v>256</v>
      </c>
      <c r="K344" s="40"/>
      <c r="L344" s="4" t="s">
        <v>423</v>
      </c>
      <c r="M344" s="78" t="s">
        <v>867</v>
      </c>
      <c r="N344" s="78"/>
      <c r="O344" s="4"/>
      <c r="P344" s="4"/>
      <c r="Q344" s="4"/>
      <c r="AD344" s="23"/>
      <c r="AE344" s="23"/>
      <c r="AF344" s="23"/>
      <c r="AG344" s="45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45"/>
      <c r="AV344" s="4"/>
      <c r="AY344" s="39">
        <v>28.2</v>
      </c>
      <c r="BR344" s="39">
        <v>61.11</v>
      </c>
      <c r="BS344" s="39"/>
      <c r="BT344" s="39">
        <v>328.16</v>
      </c>
      <c r="BV344" s="39">
        <v>33.94</v>
      </c>
      <c r="BW344" s="39"/>
      <c r="CA344" s="39">
        <v>49.27</v>
      </c>
      <c r="CB344" s="39">
        <v>28.43</v>
      </c>
      <c r="CC344" s="39">
        <v>66.3</v>
      </c>
      <c r="CD344" s="39">
        <v>11.11</v>
      </c>
      <c r="CE344" s="39">
        <v>49.71</v>
      </c>
      <c r="CF344" s="39">
        <v>12.15</v>
      </c>
      <c r="CG344" s="39">
        <v>3.63</v>
      </c>
      <c r="CH344" s="39">
        <v>13.17</v>
      </c>
      <c r="CI344" s="39">
        <v>2.09</v>
      </c>
      <c r="CJ344" s="39">
        <v>11.2</v>
      </c>
      <c r="CK344" s="39">
        <v>2.3199999999999998</v>
      </c>
      <c r="CL344" s="39">
        <v>6.02</v>
      </c>
      <c r="CM344" s="39">
        <v>0.92</v>
      </c>
      <c r="CN344" s="39">
        <v>5.26</v>
      </c>
      <c r="CO344" s="39">
        <v>0.79</v>
      </c>
      <c r="CP344" s="39">
        <v>7.94</v>
      </c>
      <c r="CQ344" s="39">
        <v>2.25</v>
      </c>
      <c r="CR344" s="39">
        <v>4.91</v>
      </c>
      <c r="CS344" s="39">
        <v>1.74</v>
      </c>
      <c r="CT344" s="39">
        <v>0.84</v>
      </c>
    </row>
    <row r="345" spans="1:98">
      <c r="A345" s="1" t="s">
        <v>289</v>
      </c>
      <c r="B345" s="4" t="s">
        <v>290</v>
      </c>
      <c r="C345" s="1" t="s">
        <v>571</v>
      </c>
      <c r="D345" s="63">
        <v>67.22</v>
      </c>
      <c r="E345" s="63">
        <v>2.93</v>
      </c>
      <c r="F345" s="1" t="s">
        <v>308</v>
      </c>
      <c r="G345" s="1" t="s">
        <v>178</v>
      </c>
      <c r="H345" s="1" t="s">
        <v>139</v>
      </c>
      <c r="I345" s="9">
        <v>682.9</v>
      </c>
      <c r="J345" s="38" t="s">
        <v>256</v>
      </c>
      <c r="L345" s="4" t="s">
        <v>426</v>
      </c>
      <c r="M345" s="78" t="s">
        <v>866</v>
      </c>
      <c r="N345" s="78"/>
      <c r="Q345" s="1" t="s">
        <v>312</v>
      </c>
      <c r="R345" s="4">
        <v>48.5</v>
      </c>
      <c r="S345" s="1">
        <v>1.83</v>
      </c>
      <c r="T345" s="1">
        <v>13.82</v>
      </c>
      <c r="U345" s="1">
        <v>4.07</v>
      </c>
      <c r="V345" s="1">
        <v>8.5500000000000007</v>
      </c>
      <c r="W345" s="1">
        <v>0.2</v>
      </c>
      <c r="X345" s="1">
        <v>7.41</v>
      </c>
      <c r="Y345" s="1">
        <v>11.12</v>
      </c>
      <c r="Z345" s="1">
        <v>2.2000000000000002</v>
      </c>
      <c r="AA345" s="1">
        <v>0.16</v>
      </c>
      <c r="AB345" s="1">
        <v>0.18</v>
      </c>
      <c r="AC345" s="9">
        <v>1.39</v>
      </c>
      <c r="AD345" s="23">
        <f>SUM(R345:AB345)+AC345</f>
        <v>99.43</v>
      </c>
      <c r="AE345" s="21">
        <f>V345+0.899*U345</f>
        <v>12.208930000000001</v>
      </c>
      <c r="AF345" s="23">
        <f>(X345/40.3)/((X345/40.3)+(AE345/71.844))</f>
        <v>0.51969191445302254</v>
      </c>
      <c r="AH345" s="16">
        <f t="shared" ref="AH345:AR346" si="301">100*R345/SUM($R345:$AB345)</f>
        <v>49.469604243166053</v>
      </c>
      <c r="AI345" s="16">
        <f t="shared" si="301"/>
        <v>1.8665850673194613</v>
      </c>
      <c r="AJ345" s="16">
        <f t="shared" si="301"/>
        <v>14.096287229702162</v>
      </c>
      <c r="AK345" s="16">
        <f t="shared" si="301"/>
        <v>4.1513667890656869</v>
      </c>
      <c r="AL345" s="16">
        <f t="shared" si="301"/>
        <v>8.7209302325581408</v>
      </c>
      <c r="AM345" s="16">
        <f t="shared" si="301"/>
        <v>0.20399836801305588</v>
      </c>
      <c r="AN345" s="16">
        <f t="shared" si="301"/>
        <v>7.5581395348837201</v>
      </c>
      <c r="AO345" s="16">
        <f t="shared" si="301"/>
        <v>11.342309261525907</v>
      </c>
      <c r="AP345" s="16">
        <f t="shared" si="301"/>
        <v>2.2439820481436148</v>
      </c>
      <c r="AQ345" s="16">
        <f t="shared" si="301"/>
        <v>0.16319869441044471</v>
      </c>
      <c r="AR345" s="16">
        <f t="shared" si="301"/>
        <v>0.18359853121175029</v>
      </c>
      <c r="AS345" s="16">
        <f>SUM(AH345:AR345)</f>
        <v>100.00000000000003</v>
      </c>
      <c r="AT345" s="16">
        <f>AL345+0.899*AK345</f>
        <v>12.453008975928194</v>
      </c>
      <c r="AV345" s="1" t="s">
        <v>428</v>
      </c>
      <c r="AY345" s="41">
        <v>40.700000000000003</v>
      </c>
      <c r="AZ345" s="41"/>
      <c r="BA345" s="41">
        <v>348</v>
      </c>
      <c r="BB345" s="41"/>
      <c r="BC345" s="41">
        <v>174</v>
      </c>
      <c r="BD345" s="41"/>
      <c r="BE345" s="41">
        <v>50.5</v>
      </c>
      <c r="BF345" s="41"/>
      <c r="BG345" s="41">
        <v>99</v>
      </c>
      <c r="BH345" s="41"/>
      <c r="BI345" s="41">
        <v>70</v>
      </c>
      <c r="BJ345" s="41"/>
      <c r="BK345" s="41">
        <v>97</v>
      </c>
      <c r="BL345" s="41"/>
      <c r="BM345" s="41"/>
      <c r="BN345" s="41">
        <v>2</v>
      </c>
      <c r="BO345" s="41"/>
      <c r="BP345" s="41"/>
      <c r="BQ345" s="41">
        <v>129</v>
      </c>
      <c r="BR345" s="41"/>
      <c r="BS345" s="41">
        <v>29</v>
      </c>
      <c r="BT345" s="41"/>
      <c r="BU345" s="41">
        <v>105</v>
      </c>
      <c r="BV345" s="41"/>
      <c r="BW345" s="41">
        <v>6</v>
      </c>
    </row>
    <row r="346" spans="1:98">
      <c r="A346" s="1" t="s">
        <v>289</v>
      </c>
      <c r="B346" s="4" t="s">
        <v>290</v>
      </c>
      <c r="C346" s="40" t="s">
        <v>83</v>
      </c>
      <c r="D346" s="63">
        <v>67.22</v>
      </c>
      <c r="E346" s="63">
        <v>2.93</v>
      </c>
      <c r="F346" s="1" t="s">
        <v>308</v>
      </c>
      <c r="G346" s="4"/>
      <c r="H346" s="4"/>
      <c r="J346" s="38" t="s">
        <v>256</v>
      </c>
      <c r="K346" s="40"/>
      <c r="L346" s="4" t="s">
        <v>423</v>
      </c>
      <c r="M346" s="78" t="s">
        <v>867</v>
      </c>
      <c r="N346" s="78"/>
      <c r="O346" s="40"/>
      <c r="P346" s="4"/>
      <c r="Q346" s="4"/>
      <c r="R346" s="4">
        <v>53.39</v>
      </c>
      <c r="S346" s="4">
        <v>2.2999999999999998</v>
      </c>
      <c r="T346" s="4">
        <v>10.39</v>
      </c>
      <c r="U346" s="4">
        <v>11.14</v>
      </c>
      <c r="W346" s="4">
        <v>0.24</v>
      </c>
      <c r="X346" s="4">
        <v>7.6</v>
      </c>
      <c r="Y346" s="4">
        <v>11.98</v>
      </c>
      <c r="Z346" s="4">
        <v>2.54</v>
      </c>
      <c r="AA346" s="4">
        <v>0.16</v>
      </c>
      <c r="AB346" s="4">
        <v>0.26</v>
      </c>
      <c r="AD346" s="23">
        <f>SUM(R346:AB346)+AC346</f>
        <v>100</v>
      </c>
      <c r="AE346" s="21">
        <f>V346+0.899*U346</f>
        <v>10.014860000000001</v>
      </c>
      <c r="AF346" s="23">
        <f>(X346/40.3)/((X346/40.3)+(AE346/71.844))</f>
        <v>0.57498607501539323</v>
      </c>
      <c r="AG346" s="45"/>
      <c r="AH346" s="16">
        <f t="shared" si="301"/>
        <v>53.39</v>
      </c>
      <c r="AI346" s="16">
        <f t="shared" si="301"/>
        <v>2.2999999999999998</v>
      </c>
      <c r="AJ346" s="16">
        <f t="shared" si="301"/>
        <v>10.39</v>
      </c>
      <c r="AK346" s="16">
        <f t="shared" si="301"/>
        <v>11.14</v>
      </c>
      <c r="AL346" s="16">
        <f t="shared" si="301"/>
        <v>0</v>
      </c>
      <c r="AM346" s="16">
        <f t="shared" si="301"/>
        <v>0.24</v>
      </c>
      <c r="AN346" s="16">
        <f t="shared" si="301"/>
        <v>7.6</v>
      </c>
      <c r="AO346" s="16">
        <f t="shared" si="301"/>
        <v>11.98</v>
      </c>
      <c r="AP346" s="16">
        <f t="shared" si="301"/>
        <v>2.54</v>
      </c>
      <c r="AQ346" s="16">
        <f t="shared" si="301"/>
        <v>0.16</v>
      </c>
      <c r="AR346" s="16">
        <f t="shared" si="301"/>
        <v>0.26</v>
      </c>
      <c r="AS346" s="16">
        <f>SUM(AH346:AR346)</f>
        <v>100</v>
      </c>
      <c r="AT346" s="16">
        <f>AL346+0.899*AK346</f>
        <v>10.014860000000001</v>
      </c>
      <c r="AU346" s="45"/>
      <c r="AV346" s="4"/>
      <c r="AY346" s="39">
        <v>33.39</v>
      </c>
      <c r="BR346" s="39">
        <v>35.479999999999997</v>
      </c>
      <c r="BT346" s="39">
        <v>115.26</v>
      </c>
      <c r="BV346" s="39">
        <v>7.22</v>
      </c>
      <c r="BW346" s="39"/>
      <c r="CA346" s="39">
        <v>7.16</v>
      </c>
      <c r="CB346" s="39">
        <v>6.75</v>
      </c>
      <c r="CC346" s="39">
        <v>18.12</v>
      </c>
      <c r="CD346" s="39">
        <v>2.66</v>
      </c>
      <c r="CE346" s="39">
        <v>14.44</v>
      </c>
      <c r="CF346" s="39">
        <v>4.4000000000000004</v>
      </c>
      <c r="CG346" s="39">
        <v>1.56</v>
      </c>
      <c r="CH346" s="39">
        <v>5.39</v>
      </c>
      <c r="CI346" s="39">
        <v>1.02</v>
      </c>
      <c r="CJ346" s="39">
        <v>5.87</v>
      </c>
      <c r="CK346" s="39">
        <v>1.21</v>
      </c>
      <c r="CL346" s="39">
        <v>3.33</v>
      </c>
      <c r="CM346" s="39">
        <v>0.52</v>
      </c>
      <c r="CN346" s="39">
        <v>3</v>
      </c>
      <c r="CO346" s="39">
        <v>0.43</v>
      </c>
      <c r="CP346" s="39">
        <v>2.74</v>
      </c>
      <c r="CQ346" s="39">
        <v>0.38</v>
      </c>
      <c r="CR346" s="39">
        <v>0.69</v>
      </c>
      <c r="CS346" s="39">
        <v>0.45</v>
      </c>
      <c r="CT346" s="39">
        <v>0.15</v>
      </c>
    </row>
    <row r="347" spans="1:98">
      <c r="A347" s="1" t="s">
        <v>289</v>
      </c>
      <c r="B347" s="4" t="s">
        <v>290</v>
      </c>
      <c r="C347" s="38" t="s">
        <v>83</v>
      </c>
      <c r="D347" s="63">
        <v>67.22</v>
      </c>
      <c r="E347" s="63">
        <v>2.93</v>
      </c>
      <c r="F347" s="1" t="s">
        <v>308</v>
      </c>
      <c r="G347" s="37"/>
      <c r="H347" s="37"/>
      <c r="I347" s="64"/>
      <c r="J347" s="38" t="s">
        <v>256</v>
      </c>
      <c r="K347" s="37"/>
      <c r="L347" s="4" t="s">
        <v>423</v>
      </c>
      <c r="M347" s="78" t="s">
        <v>867</v>
      </c>
      <c r="N347" s="78"/>
      <c r="O347" s="16" t="s">
        <v>82</v>
      </c>
      <c r="P347" s="12"/>
      <c r="Q347" s="16"/>
      <c r="R347" s="25"/>
      <c r="S347" s="25"/>
      <c r="T347" s="25"/>
      <c r="U347" s="25"/>
      <c r="V347" s="26"/>
      <c r="W347" s="25"/>
      <c r="X347" s="25"/>
      <c r="Y347" s="25"/>
      <c r="Z347" s="25"/>
      <c r="AA347" s="25"/>
      <c r="AB347" s="25"/>
      <c r="AC347" s="15"/>
      <c r="AD347" s="23"/>
      <c r="AE347" s="23"/>
      <c r="AF347" s="23"/>
      <c r="AG347" s="45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4"/>
      <c r="AT347" s="16"/>
      <c r="AU347" s="45"/>
      <c r="AV347" s="16"/>
      <c r="AW347" s="15"/>
      <c r="AX347" s="15"/>
      <c r="AY347" s="39">
        <v>56.11</v>
      </c>
      <c r="AZ347" s="39">
        <v>503.5</v>
      </c>
      <c r="BA347" s="39"/>
      <c r="BB347" s="15"/>
      <c r="BC347" s="15"/>
      <c r="BD347" s="39">
        <v>60.28</v>
      </c>
      <c r="BE347" s="39"/>
      <c r="BF347" s="15"/>
      <c r="BG347" s="39">
        <v>93.28</v>
      </c>
      <c r="BH347" s="39">
        <v>109.94</v>
      </c>
      <c r="BI347" s="39"/>
      <c r="BJ347" s="39">
        <v>129.96</v>
      </c>
      <c r="BK347" s="39"/>
      <c r="BL347" s="39">
        <v>6.19</v>
      </c>
      <c r="BM347" s="39"/>
      <c r="BN347" s="15"/>
      <c r="BO347" s="15"/>
      <c r="BP347" s="15"/>
      <c r="BQ347" s="39">
        <v>219.06</v>
      </c>
      <c r="BR347" s="39">
        <v>39.72</v>
      </c>
      <c r="BS347" s="39"/>
      <c r="BT347" s="39">
        <v>137.61000000000001</v>
      </c>
      <c r="BV347" s="39">
        <v>16.96</v>
      </c>
      <c r="BW347" s="39"/>
      <c r="BX347" s="15"/>
      <c r="BY347" s="15"/>
      <c r="BZ347" s="39">
        <v>0.01</v>
      </c>
      <c r="CA347" s="39">
        <v>53.74</v>
      </c>
      <c r="CB347" s="39">
        <v>8.02</v>
      </c>
      <c r="CC347" s="39">
        <v>21.79</v>
      </c>
      <c r="CD347" s="39">
        <v>3.05</v>
      </c>
      <c r="CE347" s="39">
        <v>17.329999999999998</v>
      </c>
      <c r="CF347" s="39">
        <v>5.03</v>
      </c>
      <c r="CG347" s="39">
        <v>1.65</v>
      </c>
      <c r="CH347" s="39">
        <v>5.6</v>
      </c>
      <c r="CI347" s="39">
        <v>1.04</v>
      </c>
      <c r="CJ347" s="39">
        <v>6.19</v>
      </c>
      <c r="CK347" s="39">
        <v>1.28</v>
      </c>
      <c r="CL347" s="39">
        <v>3.62</v>
      </c>
      <c r="CM347" s="39">
        <v>0.66</v>
      </c>
      <c r="CN347" s="39">
        <v>3.22</v>
      </c>
      <c r="CO347" s="39">
        <v>0.47</v>
      </c>
      <c r="CP347" s="39">
        <v>3.62</v>
      </c>
      <c r="CQ347" s="39">
        <v>1.52</v>
      </c>
      <c r="CR347" s="39">
        <v>0.86</v>
      </c>
      <c r="CS347" s="39">
        <v>0.55000000000000004</v>
      </c>
      <c r="CT347" s="39">
        <v>0.11</v>
      </c>
    </row>
    <row r="348" spans="1:98">
      <c r="A348" s="1" t="s">
        <v>289</v>
      </c>
      <c r="B348" s="4" t="s">
        <v>290</v>
      </c>
      <c r="C348" s="1" t="s">
        <v>572</v>
      </c>
      <c r="D348" s="63">
        <v>67.22</v>
      </c>
      <c r="E348" s="63">
        <v>2.93</v>
      </c>
      <c r="F348" s="1" t="s">
        <v>308</v>
      </c>
      <c r="G348" s="1" t="s">
        <v>180</v>
      </c>
      <c r="H348" s="1" t="s">
        <v>139</v>
      </c>
      <c r="I348" s="9">
        <v>712.3</v>
      </c>
      <c r="J348" s="38" t="s">
        <v>256</v>
      </c>
      <c r="L348" s="4" t="s">
        <v>426</v>
      </c>
      <c r="M348" s="78" t="s">
        <v>866</v>
      </c>
      <c r="N348" s="78"/>
      <c r="Q348" s="1" t="s">
        <v>312</v>
      </c>
      <c r="R348" s="4">
        <v>48.9</v>
      </c>
      <c r="S348" s="1">
        <v>1.91</v>
      </c>
      <c r="T348" s="1">
        <v>15.29</v>
      </c>
      <c r="U348" s="1">
        <v>5.29</v>
      </c>
      <c r="V348" s="1">
        <v>5.6</v>
      </c>
      <c r="W348" s="1">
        <v>0.21</v>
      </c>
      <c r="X348" s="1">
        <v>8</v>
      </c>
      <c r="Y348" s="1">
        <v>10.01</v>
      </c>
      <c r="Z348" s="1">
        <v>2.57</v>
      </c>
      <c r="AA348" s="1">
        <v>0.16</v>
      </c>
      <c r="AB348" s="1">
        <v>0.18</v>
      </c>
      <c r="AC348" s="9">
        <v>1.86</v>
      </c>
      <c r="AD348" s="23">
        <f>SUM(R348:AB348)+AC348</f>
        <v>99.97999999999999</v>
      </c>
      <c r="AE348" s="21">
        <f>V348+0.899*U348</f>
        <v>10.35571</v>
      </c>
      <c r="AF348" s="23">
        <f>(X348/40.3)/((X348/40.3)+(AE348/71.844))</f>
        <v>0.57933622206016899</v>
      </c>
      <c r="AH348" s="16">
        <f t="shared" ref="AH348:AR348" si="302">100*R348/SUM($R348:$AB348)</f>
        <v>49.836934366082353</v>
      </c>
      <c r="AI348" s="16">
        <f t="shared" si="302"/>
        <v>1.9465960048919693</v>
      </c>
      <c r="AJ348" s="16">
        <f t="shared" si="302"/>
        <v>15.582959641255608</v>
      </c>
      <c r="AK348" s="16">
        <f t="shared" si="302"/>
        <v>5.391357521402365</v>
      </c>
      <c r="AL348" s="16">
        <f t="shared" si="302"/>
        <v>5.7072971871178151</v>
      </c>
      <c r="AM348" s="16">
        <f t="shared" si="302"/>
        <v>0.21402364451691808</v>
      </c>
      <c r="AN348" s="16">
        <f t="shared" si="302"/>
        <v>8.153281695882594</v>
      </c>
      <c r="AO348" s="16">
        <f t="shared" si="302"/>
        <v>10.201793721973095</v>
      </c>
      <c r="AP348" s="16">
        <f t="shared" si="302"/>
        <v>2.6192417448022831</v>
      </c>
      <c r="AQ348" s="16">
        <f t="shared" si="302"/>
        <v>0.16306563391765186</v>
      </c>
      <c r="AR348" s="16">
        <f t="shared" si="302"/>
        <v>0.18344883815735835</v>
      </c>
      <c r="AS348" s="16">
        <f>SUM(AH348:AR348)</f>
        <v>100.00000000000001</v>
      </c>
      <c r="AT348" s="16">
        <f>AL348+0.899*AK348</f>
        <v>10.554127598858543</v>
      </c>
      <c r="AV348" s="1" t="s">
        <v>428</v>
      </c>
      <c r="AY348" s="41">
        <v>44.4</v>
      </c>
      <c r="AZ348" s="41"/>
      <c r="BA348" s="41">
        <v>369</v>
      </c>
      <c r="BB348" s="41"/>
      <c r="BC348" s="41">
        <v>231</v>
      </c>
      <c r="BD348" s="41"/>
      <c r="BE348" s="41">
        <v>48.7</v>
      </c>
      <c r="BF348" s="41"/>
      <c r="BG348" s="41">
        <v>89</v>
      </c>
      <c r="BH348" s="41"/>
      <c r="BI348" s="41">
        <v>128</v>
      </c>
      <c r="BJ348" s="41"/>
      <c r="BK348" s="41">
        <v>106</v>
      </c>
      <c r="BL348" s="41"/>
      <c r="BM348" s="41"/>
      <c r="BN348" s="41">
        <v>3</v>
      </c>
      <c r="BO348" s="41"/>
      <c r="BP348" s="41"/>
      <c r="BQ348" s="41">
        <v>259</v>
      </c>
      <c r="BR348" s="41"/>
      <c r="BS348" s="41">
        <v>25</v>
      </c>
      <c r="BT348" s="41"/>
      <c r="BU348" s="41">
        <v>110</v>
      </c>
      <c r="BV348" s="41"/>
      <c r="BW348" s="41">
        <v>6</v>
      </c>
      <c r="CB348" s="9">
        <v>6.8</v>
      </c>
      <c r="CC348" s="9">
        <v>19.100000000000001</v>
      </c>
      <c r="CE348" s="9">
        <v>15.2</v>
      </c>
      <c r="CF348" s="9">
        <v>4.66</v>
      </c>
      <c r="CG348" s="9">
        <v>1.67</v>
      </c>
      <c r="CI348" s="9">
        <v>0.97</v>
      </c>
      <c r="CN348" s="9">
        <v>2.79</v>
      </c>
      <c r="CO348" s="9">
        <v>0.41</v>
      </c>
      <c r="CP348" s="9">
        <v>3.25</v>
      </c>
      <c r="CQ348" s="9">
        <v>0.49</v>
      </c>
      <c r="CS348" s="9">
        <v>0.66</v>
      </c>
      <c r="CT348" s="9">
        <v>0.12</v>
      </c>
    </row>
    <row r="349" spans="1:98">
      <c r="A349" s="1" t="s">
        <v>289</v>
      </c>
      <c r="B349" s="4" t="s">
        <v>290</v>
      </c>
      <c r="C349" s="40" t="s">
        <v>678</v>
      </c>
      <c r="D349" s="63">
        <v>67.22</v>
      </c>
      <c r="E349" s="63">
        <v>2.93</v>
      </c>
      <c r="F349" s="1" t="s">
        <v>308</v>
      </c>
      <c r="G349" s="4"/>
      <c r="H349" s="4"/>
      <c r="J349" s="38" t="s">
        <v>256</v>
      </c>
      <c r="K349" s="40"/>
      <c r="L349" s="4" t="s">
        <v>423</v>
      </c>
      <c r="M349" s="78" t="s">
        <v>867</v>
      </c>
      <c r="N349" s="78"/>
      <c r="O349" s="4"/>
      <c r="P349" s="4"/>
      <c r="Q349" s="4"/>
      <c r="AD349" s="23"/>
      <c r="AE349" s="23"/>
      <c r="AF349" s="23"/>
      <c r="AG349" s="45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45"/>
      <c r="AV349" s="4"/>
      <c r="AY349" s="39">
        <v>33.159999999999997</v>
      </c>
      <c r="BR349" s="39">
        <v>23.76</v>
      </c>
      <c r="BS349" s="39"/>
      <c r="BT349" s="39">
        <v>99.61</v>
      </c>
      <c r="BV349" s="39">
        <v>6.51</v>
      </c>
      <c r="BW349" s="39"/>
      <c r="CA349" s="39">
        <v>35.409999999999997</v>
      </c>
      <c r="CB349" s="39">
        <v>4.71</v>
      </c>
      <c r="CC349" s="39">
        <v>15.6</v>
      </c>
      <c r="CD349" s="39">
        <v>2.34</v>
      </c>
      <c r="CE349" s="39">
        <v>12.41</v>
      </c>
      <c r="CF349" s="39">
        <v>3.83</v>
      </c>
      <c r="CG349" s="39">
        <v>1.45</v>
      </c>
      <c r="CH349" s="39">
        <v>4.41</v>
      </c>
      <c r="CI349" s="39">
        <v>0.78</v>
      </c>
      <c r="CJ349" s="39">
        <v>4.7699999999999996</v>
      </c>
      <c r="CK349" s="39">
        <v>0.97</v>
      </c>
      <c r="CL349" s="39">
        <v>2.66</v>
      </c>
      <c r="CM349" s="39">
        <v>0.4</v>
      </c>
      <c r="CN349" s="39">
        <v>2.4500000000000002</v>
      </c>
      <c r="CO349" s="39">
        <v>0.36</v>
      </c>
      <c r="CP349" s="39">
        <v>2.73</v>
      </c>
      <c r="CQ349" s="39">
        <v>0.38</v>
      </c>
      <c r="CR349" s="39">
        <v>1.1100000000000001</v>
      </c>
      <c r="CS349" s="39">
        <v>0.47</v>
      </c>
      <c r="CT349" s="39">
        <v>0.09</v>
      </c>
    </row>
    <row r="350" spans="1:98">
      <c r="A350" s="1" t="s">
        <v>289</v>
      </c>
      <c r="B350" s="4" t="s">
        <v>290</v>
      </c>
      <c r="C350" s="1" t="s">
        <v>573</v>
      </c>
      <c r="D350" s="63">
        <v>67.22</v>
      </c>
      <c r="E350" s="63">
        <v>2.93</v>
      </c>
      <c r="F350" s="1" t="s">
        <v>308</v>
      </c>
      <c r="G350" s="1" t="s">
        <v>198</v>
      </c>
      <c r="H350" s="1" t="s">
        <v>139</v>
      </c>
      <c r="I350" s="9">
        <v>718.3</v>
      </c>
      <c r="J350" s="38" t="s">
        <v>256</v>
      </c>
      <c r="L350" s="4" t="s">
        <v>426</v>
      </c>
      <c r="M350" s="78" t="s">
        <v>866</v>
      </c>
      <c r="N350" s="78"/>
      <c r="Q350" s="1" t="s">
        <v>312</v>
      </c>
      <c r="R350" s="4">
        <v>48.6</v>
      </c>
      <c r="S350" s="1">
        <v>1.97</v>
      </c>
      <c r="T350" s="1">
        <v>14.5</v>
      </c>
      <c r="U350" s="1">
        <v>5.92</v>
      </c>
      <c r="V350" s="1">
        <v>6.07</v>
      </c>
      <c r="W350" s="1">
        <v>0.16</v>
      </c>
      <c r="X350" s="1">
        <v>7.91</v>
      </c>
      <c r="Y350" s="1">
        <v>10.24</v>
      </c>
      <c r="Z350" s="1">
        <v>2.7</v>
      </c>
      <c r="AA350" s="1">
        <v>0.21</v>
      </c>
      <c r="AB350" s="1">
        <v>0.19</v>
      </c>
      <c r="AC350" s="9">
        <v>1.79</v>
      </c>
      <c r="AD350" s="23">
        <f>SUM(R350:AB350)+AC350</f>
        <v>100.25999999999999</v>
      </c>
      <c r="AE350" s="21">
        <f>V350+0.899*U350</f>
        <v>11.39208</v>
      </c>
      <c r="AF350" s="23">
        <f>(X350/40.3)/((X350/40.3)+(AE350/71.844))</f>
        <v>0.55313734281889737</v>
      </c>
      <c r="AH350" s="16">
        <f t="shared" ref="AH350:AR352" si="303">100*R350/SUM($R350:$AB350)</f>
        <v>49.355133543211139</v>
      </c>
      <c r="AI350" s="16">
        <f t="shared" si="303"/>
        <v>2.0006093226363362</v>
      </c>
      <c r="AJ350" s="16">
        <f t="shared" si="303"/>
        <v>14.725297044785217</v>
      </c>
      <c r="AK350" s="16">
        <f t="shared" si="303"/>
        <v>6.0119833451812745</v>
      </c>
      <c r="AL350" s="16">
        <f t="shared" si="303"/>
        <v>6.1643140042652593</v>
      </c>
      <c r="AM350" s="16">
        <f t="shared" si="303"/>
        <v>0.16248603635625067</v>
      </c>
      <c r="AN350" s="16">
        <f t="shared" si="303"/>
        <v>8.0329034223621427</v>
      </c>
      <c r="AO350" s="16">
        <f t="shared" si="303"/>
        <v>10.399106326800043</v>
      </c>
      <c r="AP350" s="16">
        <f t="shared" si="303"/>
        <v>2.7419518635117299</v>
      </c>
      <c r="AQ350" s="16">
        <f t="shared" si="303"/>
        <v>0.21326292271757899</v>
      </c>
      <c r="AR350" s="16">
        <f t="shared" si="303"/>
        <v>0.19295216817304767</v>
      </c>
      <c r="AS350" s="16">
        <f>SUM(AH350:AR350)</f>
        <v>100.00000000000003</v>
      </c>
      <c r="AT350" s="16">
        <f>AL350+0.899*AK350</f>
        <v>11.569087031583226</v>
      </c>
      <c r="AV350" s="1" t="s">
        <v>428</v>
      </c>
      <c r="AY350" s="41"/>
      <c r="AZ350" s="41"/>
      <c r="BA350" s="41">
        <v>385</v>
      </c>
      <c r="BB350" s="41"/>
      <c r="BC350" s="41">
        <v>111</v>
      </c>
      <c r="BD350" s="41"/>
      <c r="BE350" s="41">
        <v>45</v>
      </c>
      <c r="BF350" s="41"/>
      <c r="BG350" s="41">
        <v>71</v>
      </c>
      <c r="BH350" s="41"/>
      <c r="BI350" s="41">
        <v>180</v>
      </c>
      <c r="BJ350" s="41"/>
      <c r="BK350" s="41">
        <v>106</v>
      </c>
      <c r="BL350" s="41"/>
      <c r="BM350" s="41"/>
      <c r="BN350" s="41">
        <v>5</v>
      </c>
      <c r="BO350" s="41"/>
      <c r="BP350" s="41"/>
      <c r="BQ350" s="41">
        <v>206</v>
      </c>
      <c r="BR350" s="41"/>
      <c r="BS350" s="41">
        <v>29</v>
      </c>
      <c r="BT350" s="41"/>
      <c r="BU350" s="41">
        <v>115</v>
      </c>
      <c r="BV350" s="41"/>
      <c r="BW350" s="41">
        <v>6</v>
      </c>
    </row>
    <row r="351" spans="1:98">
      <c r="A351" s="1" t="s">
        <v>289</v>
      </c>
      <c r="B351" s="4" t="s">
        <v>290</v>
      </c>
      <c r="C351" s="1" t="s">
        <v>574</v>
      </c>
      <c r="D351" s="63">
        <v>67.22</v>
      </c>
      <c r="E351" s="63">
        <v>2.93</v>
      </c>
      <c r="F351" s="1" t="s">
        <v>308</v>
      </c>
      <c r="G351" s="1" t="s">
        <v>171</v>
      </c>
      <c r="H351" s="1" t="s">
        <v>139</v>
      </c>
      <c r="I351" s="9">
        <v>733.7</v>
      </c>
      <c r="J351" s="38" t="s">
        <v>256</v>
      </c>
      <c r="L351" s="4" t="s">
        <v>426</v>
      </c>
      <c r="M351" s="78" t="s">
        <v>866</v>
      </c>
      <c r="N351" s="78"/>
      <c r="Q351" s="1" t="s">
        <v>312</v>
      </c>
      <c r="R351" s="4">
        <v>48.7</v>
      </c>
      <c r="S351" s="1">
        <v>1.61</v>
      </c>
      <c r="T351" s="1">
        <v>14.22</v>
      </c>
      <c r="U351" s="1">
        <v>3.6</v>
      </c>
      <c r="V351" s="1">
        <v>8.09</v>
      </c>
      <c r="W351" s="1">
        <v>0.21</v>
      </c>
      <c r="X351" s="1">
        <v>7.85</v>
      </c>
      <c r="Y351" s="1">
        <v>11.47</v>
      </c>
      <c r="Z351" s="1">
        <v>2.1800000000000002</v>
      </c>
      <c r="AA351" s="1">
        <v>0.12</v>
      </c>
      <c r="AB351" s="1">
        <v>0.15</v>
      </c>
      <c r="AC351" s="9">
        <v>1.32</v>
      </c>
      <c r="AD351" s="23">
        <f>SUM(R351:AB351)+AC351</f>
        <v>99.52</v>
      </c>
      <c r="AE351" s="21">
        <f>V351+0.899*U351</f>
        <v>11.3264</v>
      </c>
      <c r="AF351" s="23">
        <f>(X351/40.3)/((X351/40.3)+(AE351/71.844))</f>
        <v>0.55268443286204283</v>
      </c>
      <c r="AH351" s="16">
        <f t="shared" si="303"/>
        <v>49.592668024439917</v>
      </c>
      <c r="AI351" s="16">
        <f t="shared" si="303"/>
        <v>1.6395112016293278</v>
      </c>
      <c r="AJ351" s="16">
        <f t="shared" si="303"/>
        <v>14.480651731160895</v>
      </c>
      <c r="AK351" s="16">
        <f t="shared" si="303"/>
        <v>3.6659877800407332</v>
      </c>
      <c r="AL351" s="16">
        <f t="shared" si="303"/>
        <v>8.2382892057026478</v>
      </c>
      <c r="AM351" s="16">
        <f t="shared" si="303"/>
        <v>0.21384928716904275</v>
      </c>
      <c r="AN351" s="16">
        <f t="shared" si="303"/>
        <v>7.9938900203665986</v>
      </c>
      <c r="AO351" s="16">
        <f t="shared" si="303"/>
        <v>11.680244399185336</v>
      </c>
      <c r="AP351" s="16">
        <f t="shared" si="303"/>
        <v>2.2199592668024444</v>
      </c>
      <c r="AQ351" s="16">
        <f t="shared" si="303"/>
        <v>0.12219959266802444</v>
      </c>
      <c r="AR351" s="16">
        <f t="shared" si="303"/>
        <v>0.15274949083503053</v>
      </c>
      <c r="AS351" s="16">
        <f>SUM(AH351:AR351)</f>
        <v>100</v>
      </c>
      <c r="AT351" s="16">
        <f>AL351+0.899*AK351</f>
        <v>11.534012219959267</v>
      </c>
      <c r="AV351" s="1" t="s">
        <v>428</v>
      </c>
      <c r="AY351" s="41">
        <v>40.700000000000003</v>
      </c>
      <c r="AZ351" s="41"/>
      <c r="BA351" s="41">
        <v>324</v>
      </c>
      <c r="BB351" s="41"/>
      <c r="BC351" s="41">
        <v>281</v>
      </c>
      <c r="BD351" s="41"/>
      <c r="BE351" s="41">
        <v>49.4</v>
      </c>
      <c r="BF351" s="41"/>
      <c r="BG351" s="41">
        <v>104</v>
      </c>
      <c r="BH351" s="41"/>
      <c r="BI351" s="41">
        <v>149</v>
      </c>
      <c r="BJ351" s="41"/>
      <c r="BK351" s="41">
        <v>90</v>
      </c>
      <c r="BL351" s="41"/>
      <c r="BM351" s="41"/>
      <c r="BN351" s="41">
        <v>4</v>
      </c>
      <c r="BO351" s="41"/>
      <c r="BP351" s="41"/>
      <c r="BQ351" s="41">
        <v>212</v>
      </c>
      <c r="BR351" s="41"/>
      <c r="BS351" s="41">
        <v>26</v>
      </c>
      <c r="BT351" s="41"/>
      <c r="BU351" s="41">
        <v>91</v>
      </c>
      <c r="BV351" s="41"/>
      <c r="BW351" s="41">
        <v>3</v>
      </c>
      <c r="CB351" s="9">
        <v>6.6</v>
      </c>
      <c r="CC351" s="9">
        <v>17.600000000000001</v>
      </c>
      <c r="CE351" s="9">
        <v>11.9</v>
      </c>
      <c r="CF351" s="9">
        <v>4.05</v>
      </c>
      <c r="CG351" s="9">
        <v>1.49</v>
      </c>
      <c r="CI351" s="9">
        <v>0.88</v>
      </c>
      <c r="CN351" s="9">
        <v>2.92</v>
      </c>
      <c r="CO351" s="9">
        <v>0.42</v>
      </c>
      <c r="CP351" s="9">
        <v>2.7</v>
      </c>
      <c r="CQ351" s="9">
        <v>0.44</v>
      </c>
      <c r="CS351" s="9">
        <v>0.67</v>
      </c>
      <c r="CT351" s="9">
        <v>0.14000000000000001</v>
      </c>
    </row>
    <row r="352" spans="1:98">
      <c r="A352" s="1" t="s">
        <v>289</v>
      </c>
      <c r="B352" s="4" t="s">
        <v>290</v>
      </c>
      <c r="C352" s="1" t="s">
        <v>575</v>
      </c>
      <c r="D352" s="63">
        <v>67.22</v>
      </c>
      <c r="E352" s="63">
        <v>2.93</v>
      </c>
      <c r="F352" s="1" t="s">
        <v>308</v>
      </c>
      <c r="G352" s="1" t="s">
        <v>162</v>
      </c>
      <c r="H352" s="1" t="s">
        <v>139</v>
      </c>
      <c r="I352" s="9">
        <v>740.8</v>
      </c>
      <c r="J352" s="38" t="s">
        <v>256</v>
      </c>
      <c r="L352" s="4" t="s">
        <v>426</v>
      </c>
      <c r="M352" s="78" t="s">
        <v>866</v>
      </c>
      <c r="N352" s="78"/>
      <c r="Q352" s="1" t="s">
        <v>312</v>
      </c>
      <c r="R352" s="4">
        <v>48.2</v>
      </c>
      <c r="S352" s="1">
        <v>1.8</v>
      </c>
      <c r="T352" s="1">
        <v>14.36</v>
      </c>
      <c r="U352" s="1">
        <v>4.2699999999999996</v>
      </c>
      <c r="V352" s="1">
        <v>7.22</v>
      </c>
      <c r="W352" s="1">
        <v>0.2</v>
      </c>
      <c r="X352" s="1">
        <v>7.89</v>
      </c>
      <c r="Y352" s="1">
        <v>11.42</v>
      </c>
      <c r="Z352" s="1">
        <v>2.11</v>
      </c>
      <c r="AA352" s="1">
        <v>0.11</v>
      </c>
      <c r="AB352" s="1">
        <v>0.17</v>
      </c>
      <c r="AC352" s="9">
        <v>1.51</v>
      </c>
      <c r="AD352" s="23">
        <f>SUM(R352:AB352)+AC352</f>
        <v>99.26</v>
      </c>
      <c r="AE352" s="21">
        <f>V352+0.899*U352</f>
        <v>11.058729999999999</v>
      </c>
      <c r="AF352" s="23">
        <f>(X352/40.3)/((X352/40.3)+(AE352/71.844))</f>
        <v>0.55984218694488386</v>
      </c>
      <c r="AH352" s="16">
        <f t="shared" si="303"/>
        <v>49.309462915601024</v>
      </c>
      <c r="AI352" s="16">
        <f t="shared" si="303"/>
        <v>1.8414322250639386</v>
      </c>
      <c r="AJ352" s="16">
        <f t="shared" si="303"/>
        <v>14.690537084398978</v>
      </c>
      <c r="AK352" s="16">
        <f t="shared" si="303"/>
        <v>4.368286445012787</v>
      </c>
      <c r="AL352" s="16">
        <f t="shared" si="303"/>
        <v>7.3861892583120206</v>
      </c>
      <c r="AM352" s="16">
        <f t="shared" si="303"/>
        <v>0.20460358056265984</v>
      </c>
      <c r="AN352" s="16">
        <f t="shared" si="303"/>
        <v>8.0716112531969308</v>
      </c>
      <c r="AO352" s="16">
        <f t="shared" si="303"/>
        <v>11.682864450127877</v>
      </c>
      <c r="AP352" s="16">
        <f t="shared" si="303"/>
        <v>2.1585677749360612</v>
      </c>
      <c r="AQ352" s="16">
        <f t="shared" si="303"/>
        <v>0.11253196930946291</v>
      </c>
      <c r="AR352" s="16">
        <f t="shared" si="303"/>
        <v>0.17391304347826086</v>
      </c>
      <c r="AS352" s="16">
        <f>SUM(AH352:AR352)</f>
        <v>100</v>
      </c>
      <c r="AT352" s="16">
        <f>AL352+0.899*AK352</f>
        <v>11.313278772378517</v>
      </c>
      <c r="AV352" s="1" t="s">
        <v>428</v>
      </c>
      <c r="AY352" s="41">
        <v>40.6</v>
      </c>
      <c r="AZ352" s="41"/>
      <c r="BA352" s="41">
        <v>330</v>
      </c>
      <c r="BB352" s="41"/>
      <c r="BC352" s="41">
        <v>318</v>
      </c>
      <c r="BD352" s="41"/>
      <c r="BE352" s="41">
        <v>48.8</v>
      </c>
      <c r="BF352" s="41"/>
      <c r="BG352" s="41">
        <v>132</v>
      </c>
      <c r="BH352" s="41"/>
      <c r="BI352" s="41">
        <v>110</v>
      </c>
      <c r="BJ352" s="41"/>
      <c r="BK352" s="41">
        <v>111</v>
      </c>
      <c r="BL352" s="41"/>
      <c r="BM352" s="41"/>
      <c r="BN352" s="41">
        <v>3</v>
      </c>
      <c r="BO352" s="41"/>
      <c r="BP352" s="41"/>
      <c r="BQ352" s="41">
        <v>210</v>
      </c>
      <c r="BR352" s="41"/>
      <c r="BS352" s="41">
        <v>29</v>
      </c>
      <c r="BT352" s="41"/>
      <c r="BU352" s="41">
        <v>105</v>
      </c>
      <c r="BV352" s="41"/>
      <c r="BW352" s="41">
        <v>6</v>
      </c>
    </row>
    <row r="353" spans="1:98">
      <c r="A353" s="1" t="s">
        <v>289</v>
      </c>
      <c r="B353" s="4" t="s">
        <v>290</v>
      </c>
      <c r="C353" s="40" t="s">
        <v>679</v>
      </c>
      <c r="D353" s="63">
        <v>67.22</v>
      </c>
      <c r="E353" s="63">
        <v>2.93</v>
      </c>
      <c r="F353" s="1" t="s">
        <v>308</v>
      </c>
      <c r="G353" s="4"/>
      <c r="H353" s="4"/>
      <c r="J353" s="38" t="s">
        <v>256</v>
      </c>
      <c r="K353" s="40"/>
      <c r="L353" s="4" t="s">
        <v>423</v>
      </c>
      <c r="M353" s="78" t="s">
        <v>867</v>
      </c>
      <c r="N353" s="78"/>
      <c r="O353" s="4"/>
      <c r="P353" s="4"/>
      <c r="Q353" s="4"/>
      <c r="AD353" s="23"/>
      <c r="AE353" s="23"/>
      <c r="AF353" s="23"/>
      <c r="AG353" s="45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45"/>
      <c r="AV353" s="4"/>
      <c r="AY353" s="39">
        <v>35.86</v>
      </c>
      <c r="BR353" s="39">
        <v>27.98</v>
      </c>
      <c r="BS353" s="39"/>
      <c r="BT353" s="39">
        <v>86.85</v>
      </c>
      <c r="BV353" s="39">
        <v>5.53</v>
      </c>
      <c r="BW353" s="39"/>
      <c r="CA353" s="39">
        <v>29.95</v>
      </c>
      <c r="CB353" s="39">
        <v>4.54</v>
      </c>
      <c r="CC353" s="39">
        <v>13.42</v>
      </c>
      <c r="CD353" s="39">
        <v>2.02</v>
      </c>
      <c r="CE353" s="39">
        <v>10.87</v>
      </c>
      <c r="CF353" s="39">
        <v>3.45</v>
      </c>
      <c r="CG353" s="39">
        <v>1.27</v>
      </c>
      <c r="CH353" s="39">
        <v>4.2300000000000004</v>
      </c>
      <c r="CI353" s="39">
        <v>0.76</v>
      </c>
      <c r="CJ353" s="39">
        <v>4.71</v>
      </c>
      <c r="CK353" s="39">
        <v>0.97</v>
      </c>
      <c r="CL353" s="39">
        <v>2.71</v>
      </c>
      <c r="CM353" s="39">
        <v>0.41</v>
      </c>
      <c r="CN353" s="39">
        <v>2.4300000000000002</v>
      </c>
      <c r="CO353" s="39">
        <v>0.37</v>
      </c>
      <c r="CP353" s="39">
        <v>2.2999999999999998</v>
      </c>
      <c r="CQ353" s="39">
        <v>0.3</v>
      </c>
      <c r="CR353" s="39">
        <v>0.22</v>
      </c>
      <c r="CS353" s="39">
        <v>0.37</v>
      </c>
      <c r="CT353" s="39">
        <v>0.08</v>
      </c>
    </row>
    <row r="354" spans="1:98">
      <c r="A354" s="1" t="s">
        <v>289</v>
      </c>
      <c r="B354" s="4" t="s">
        <v>290</v>
      </c>
      <c r="C354" s="40" t="s">
        <v>680</v>
      </c>
      <c r="D354" s="63">
        <v>67.22</v>
      </c>
      <c r="E354" s="63">
        <v>2.93</v>
      </c>
      <c r="F354" s="1" t="s">
        <v>308</v>
      </c>
      <c r="G354" s="4"/>
      <c r="H354" s="4"/>
      <c r="J354" s="38" t="s">
        <v>256</v>
      </c>
      <c r="K354" s="40"/>
      <c r="L354" s="4" t="s">
        <v>423</v>
      </c>
      <c r="M354" s="78" t="s">
        <v>867</v>
      </c>
      <c r="N354" s="78"/>
      <c r="O354" s="4"/>
      <c r="P354" s="4"/>
      <c r="Q354" s="4"/>
      <c r="AD354" s="23"/>
      <c r="AE354" s="23"/>
      <c r="AF354" s="23"/>
      <c r="AG354" s="45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45"/>
      <c r="AV354" s="4"/>
      <c r="AY354" s="39">
        <v>34.119999999999997</v>
      </c>
      <c r="BR354" s="39">
        <v>48.21</v>
      </c>
      <c r="BS354" s="39"/>
      <c r="BT354" s="39">
        <v>186.96</v>
      </c>
      <c r="BV354" s="39">
        <v>16.690000000000001</v>
      </c>
      <c r="BW354" s="39"/>
      <c r="CA354" s="39">
        <v>88.59</v>
      </c>
      <c r="CB354" s="39">
        <v>13.39</v>
      </c>
      <c r="CC354" s="39">
        <v>31.68</v>
      </c>
      <c r="CD354" s="39">
        <v>5.19</v>
      </c>
      <c r="CE354" s="39">
        <v>23.16</v>
      </c>
      <c r="CF354" s="39">
        <v>6.23</v>
      </c>
      <c r="CG354" s="39">
        <v>2.0299999999999998</v>
      </c>
      <c r="CH354" s="39">
        <v>7.47</v>
      </c>
      <c r="CI354" s="39">
        <v>1.32</v>
      </c>
      <c r="CJ354" s="39">
        <v>7.61</v>
      </c>
      <c r="CK354" s="39">
        <v>1.69</v>
      </c>
      <c r="CL354" s="39">
        <v>4.82</v>
      </c>
      <c r="CM354" s="39">
        <v>0.82</v>
      </c>
      <c r="CN354" s="39">
        <v>4.9400000000000004</v>
      </c>
      <c r="CO354" s="39">
        <v>0.78</v>
      </c>
      <c r="CP354" s="39">
        <v>4.55</v>
      </c>
      <c r="CQ354" s="39">
        <v>0.98</v>
      </c>
      <c r="CR354" s="39">
        <v>3.06</v>
      </c>
      <c r="CS354" s="39">
        <v>0.72</v>
      </c>
      <c r="CT354" s="39">
        <v>0.23</v>
      </c>
    </row>
    <row r="355" spans="1:98">
      <c r="A355" s="1" t="s">
        <v>289</v>
      </c>
      <c r="B355" s="4" t="s">
        <v>290</v>
      </c>
      <c r="C355" s="40" t="s">
        <v>681</v>
      </c>
      <c r="D355" s="63">
        <v>67.22</v>
      </c>
      <c r="E355" s="63">
        <v>2.93</v>
      </c>
      <c r="F355" s="1" t="s">
        <v>308</v>
      </c>
      <c r="G355" s="4"/>
      <c r="H355" s="4"/>
      <c r="J355" s="38" t="s">
        <v>256</v>
      </c>
      <c r="K355" s="40"/>
      <c r="L355" s="4" t="s">
        <v>423</v>
      </c>
      <c r="M355" s="78" t="s">
        <v>867</v>
      </c>
      <c r="N355" s="78"/>
      <c r="O355" s="4"/>
      <c r="P355" s="4"/>
      <c r="Q355" s="4"/>
      <c r="AD355" s="23"/>
      <c r="AE355" s="23"/>
      <c r="AF355" s="23"/>
      <c r="AG355" s="45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45"/>
      <c r="AV355" s="4"/>
      <c r="AY355" s="39">
        <v>29.32</v>
      </c>
      <c r="BR355" s="39">
        <v>27.83</v>
      </c>
      <c r="BS355" s="39"/>
      <c r="BT355" s="39">
        <v>91.4</v>
      </c>
      <c r="BV355" s="39">
        <v>6.69</v>
      </c>
      <c r="BW355" s="39"/>
      <c r="CA355" s="39">
        <v>34.57</v>
      </c>
      <c r="CB355" s="39">
        <v>6.65</v>
      </c>
      <c r="CC355" s="39">
        <v>16.36</v>
      </c>
      <c r="CD355" s="39">
        <v>2.4700000000000002</v>
      </c>
      <c r="CE355" s="39">
        <v>12.96</v>
      </c>
      <c r="CF355" s="39">
        <v>3.97</v>
      </c>
      <c r="CG355" s="39">
        <v>1.41</v>
      </c>
      <c r="CH355" s="39">
        <v>4.75</v>
      </c>
      <c r="CI355" s="39">
        <v>0.84</v>
      </c>
      <c r="CJ355" s="39">
        <v>5.22</v>
      </c>
      <c r="CK355" s="39">
        <v>1.07</v>
      </c>
      <c r="CL355" s="39">
        <v>2.97</v>
      </c>
      <c r="CM355" s="39">
        <v>0.45</v>
      </c>
      <c r="CN355" s="39">
        <v>2.61</v>
      </c>
      <c r="CO355" s="39">
        <v>0.39</v>
      </c>
      <c r="CP355" s="39">
        <v>2.64</v>
      </c>
      <c r="CQ355" s="39">
        <v>0.4</v>
      </c>
      <c r="CR355" s="39"/>
      <c r="CS355" s="39">
        <v>0.45</v>
      </c>
      <c r="CT355" s="39">
        <v>0.09</v>
      </c>
    </row>
    <row r="356" spans="1:98">
      <c r="A356" s="1" t="s">
        <v>289</v>
      </c>
      <c r="B356" s="4" t="s">
        <v>290</v>
      </c>
      <c r="C356" s="40" t="s">
        <v>84</v>
      </c>
      <c r="D356" s="63">
        <v>67.22</v>
      </c>
      <c r="E356" s="63">
        <v>2.93</v>
      </c>
      <c r="F356" s="1" t="s">
        <v>308</v>
      </c>
      <c r="G356" s="4"/>
      <c r="H356" s="4"/>
      <c r="J356" s="38" t="s">
        <v>256</v>
      </c>
      <c r="K356" s="40"/>
      <c r="L356" s="4" t="s">
        <v>423</v>
      </c>
      <c r="M356" s="78" t="s">
        <v>867</v>
      </c>
      <c r="N356" s="78"/>
      <c r="O356" s="40"/>
      <c r="P356" s="4"/>
      <c r="Q356" s="4"/>
      <c r="R356" s="4">
        <v>53.26</v>
      </c>
      <c r="S356" s="4">
        <v>2.1800000000000002</v>
      </c>
      <c r="T356" s="4">
        <v>10.9</v>
      </c>
      <c r="U356" s="4">
        <v>10.26</v>
      </c>
      <c r="W356" s="4">
        <v>0.21</v>
      </c>
      <c r="X356" s="4">
        <v>8.42</v>
      </c>
      <c r="Y356" s="4">
        <v>12.19</v>
      </c>
      <c r="Z356" s="4">
        <v>2.42</v>
      </c>
      <c r="AA356" s="4">
        <v>0.13</v>
      </c>
      <c r="AB356" s="4">
        <v>0.04</v>
      </c>
      <c r="AD356" s="23">
        <f>SUM(R356:AB356)+AC356</f>
        <v>100.01</v>
      </c>
      <c r="AE356" s="21">
        <f>V356+0.899*U356</f>
        <v>9.2237399999999994</v>
      </c>
      <c r="AF356" s="23">
        <f>(X356/40.3)/((X356/40.3)+(AE356/71.844))</f>
        <v>0.61939352955225913</v>
      </c>
      <c r="AG356" s="45"/>
      <c r="AH356" s="16">
        <f t="shared" ref="AH356:AR356" si="304">100*R356/SUM($R356:$AB356)</f>
        <v>53.254674532546744</v>
      </c>
      <c r="AI356" s="16">
        <f t="shared" si="304"/>
        <v>2.1797820217978203</v>
      </c>
      <c r="AJ356" s="16">
        <f t="shared" si="304"/>
        <v>10.898910108989101</v>
      </c>
      <c r="AK356" s="16">
        <f t="shared" si="304"/>
        <v>10.25897410258974</v>
      </c>
      <c r="AL356" s="16">
        <f t="shared" si="304"/>
        <v>0</v>
      </c>
      <c r="AM356" s="16">
        <f t="shared" si="304"/>
        <v>0.20997900209979001</v>
      </c>
      <c r="AN356" s="16">
        <f t="shared" si="304"/>
        <v>8.4191580841915812</v>
      </c>
      <c r="AO356" s="16">
        <f t="shared" si="304"/>
        <v>12.188781121887811</v>
      </c>
      <c r="AP356" s="16">
        <f t="shared" si="304"/>
        <v>2.4197580241975802</v>
      </c>
      <c r="AQ356" s="16">
        <f t="shared" si="304"/>
        <v>0.12998700129987001</v>
      </c>
      <c r="AR356" s="16">
        <f t="shared" si="304"/>
        <v>3.9996000399959999E-2</v>
      </c>
      <c r="AS356" s="16">
        <f>SUM(AH356:AR356)</f>
        <v>100</v>
      </c>
      <c r="AT356" s="16">
        <f>AL356+0.899*AK356</f>
        <v>9.2228177182281765</v>
      </c>
      <c r="AU356" s="45"/>
      <c r="AV356" s="4"/>
      <c r="AY356" s="39">
        <v>33.44</v>
      </c>
      <c r="BR356" s="39">
        <v>32.65</v>
      </c>
      <c r="BS356" s="39"/>
      <c r="BT356" s="39">
        <v>135.94</v>
      </c>
      <c r="BV356" s="39">
        <v>7.45</v>
      </c>
      <c r="BW356" s="39"/>
      <c r="CA356" s="39">
        <v>7.37</v>
      </c>
      <c r="CB356" s="39">
        <v>6.79</v>
      </c>
      <c r="CC356" s="39">
        <v>17.16</v>
      </c>
      <c r="CD356" s="39">
        <v>2.4700000000000002</v>
      </c>
      <c r="CE356" s="39">
        <v>13.47</v>
      </c>
      <c r="CF356" s="39">
        <v>4.1100000000000003</v>
      </c>
      <c r="CG356" s="39">
        <v>1.46</v>
      </c>
      <c r="CH356" s="39">
        <v>5.07</v>
      </c>
      <c r="CI356" s="39">
        <v>0.94</v>
      </c>
      <c r="CJ356" s="39">
        <v>5.41</v>
      </c>
      <c r="CK356" s="39">
        <v>1.1299999999999999</v>
      </c>
      <c r="CL356" s="39">
        <v>3.09</v>
      </c>
      <c r="CM356" s="39">
        <v>0.47</v>
      </c>
      <c r="CN356" s="39">
        <v>2.74</v>
      </c>
      <c r="CO356" s="39">
        <v>0.39</v>
      </c>
      <c r="CP356" s="39">
        <v>3.34</v>
      </c>
      <c r="CQ356" s="39">
        <v>0.35</v>
      </c>
      <c r="CR356" s="39">
        <v>0.18</v>
      </c>
      <c r="CS356" s="39">
        <v>0.5</v>
      </c>
      <c r="CT356" s="39">
        <v>0.12</v>
      </c>
    </row>
    <row r="357" spans="1:98">
      <c r="A357" s="1" t="s">
        <v>289</v>
      </c>
      <c r="B357" s="4" t="s">
        <v>290</v>
      </c>
      <c r="C357" s="38" t="s">
        <v>84</v>
      </c>
      <c r="D357" s="63">
        <v>67.22</v>
      </c>
      <c r="E357" s="63">
        <v>2.93</v>
      </c>
      <c r="F357" s="1" t="s">
        <v>308</v>
      </c>
      <c r="G357" s="37"/>
      <c r="H357" s="37"/>
      <c r="I357" s="64"/>
      <c r="J357" s="38" t="s">
        <v>256</v>
      </c>
      <c r="K357" s="37"/>
      <c r="L357" s="4" t="s">
        <v>423</v>
      </c>
      <c r="M357" s="78" t="s">
        <v>867</v>
      </c>
      <c r="N357" s="78"/>
      <c r="O357" s="16" t="s">
        <v>82</v>
      </c>
      <c r="P357" s="12"/>
      <c r="Q357" s="16"/>
      <c r="R357" s="25"/>
      <c r="S357" s="25"/>
      <c r="T357" s="25"/>
      <c r="U357" s="25"/>
      <c r="V357" s="26"/>
      <c r="W357" s="25"/>
      <c r="X357" s="25"/>
      <c r="Y357" s="25"/>
      <c r="Z357" s="25"/>
      <c r="AA357" s="25"/>
      <c r="AB357" s="25"/>
      <c r="AC357" s="15"/>
      <c r="AD357" s="23"/>
      <c r="AE357" s="23"/>
      <c r="AF357" s="23"/>
      <c r="AG357" s="45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45"/>
      <c r="AV357" s="16"/>
      <c r="AW357" s="15"/>
      <c r="AX357" s="15"/>
      <c r="AY357" s="39">
        <v>45.29</v>
      </c>
      <c r="AZ357" s="39">
        <v>389.66</v>
      </c>
      <c r="BA357" s="39"/>
      <c r="BB357" s="15"/>
      <c r="BC357" s="15"/>
      <c r="BD357" s="39">
        <v>49.14</v>
      </c>
      <c r="BE357" s="39"/>
      <c r="BF357" s="15"/>
      <c r="BG357" s="39">
        <v>107.72</v>
      </c>
      <c r="BH357" s="39">
        <v>102.05</v>
      </c>
      <c r="BI357" s="39"/>
      <c r="BJ357" s="39">
        <v>105.76</v>
      </c>
      <c r="BK357" s="39"/>
      <c r="BL357" s="39">
        <v>5.14</v>
      </c>
      <c r="BM357" s="39"/>
      <c r="BN357" s="15"/>
      <c r="BO357" s="15"/>
      <c r="BP357" s="15"/>
      <c r="BQ357" s="39">
        <v>185.11</v>
      </c>
      <c r="BR357" s="39">
        <v>31.17</v>
      </c>
      <c r="BS357" s="15"/>
      <c r="BT357" s="39">
        <v>104.43</v>
      </c>
      <c r="BV357" s="39">
        <v>8.44</v>
      </c>
      <c r="BW357" s="39"/>
      <c r="BX357" s="15"/>
      <c r="BY357" s="15"/>
      <c r="BZ357" s="39">
        <v>0.01</v>
      </c>
      <c r="CA357" s="39">
        <v>46.11</v>
      </c>
      <c r="CB357" s="39">
        <v>6.66</v>
      </c>
      <c r="CC357" s="39">
        <v>17.87</v>
      </c>
      <c r="CD357" s="39">
        <v>2.39</v>
      </c>
      <c r="CE357" s="39">
        <v>13.9</v>
      </c>
      <c r="CF357" s="39">
        <v>4.0999999999999996</v>
      </c>
      <c r="CG357" s="39">
        <v>1.26</v>
      </c>
      <c r="CH357" s="39">
        <v>4.3499999999999996</v>
      </c>
      <c r="CI357" s="39">
        <v>0.81</v>
      </c>
      <c r="CJ357" s="39">
        <v>4.7300000000000004</v>
      </c>
      <c r="CK357" s="39">
        <v>0.98</v>
      </c>
      <c r="CL357" s="39">
        <v>2.67</v>
      </c>
      <c r="CM357" s="39">
        <v>0.49</v>
      </c>
      <c r="CN357" s="39">
        <v>2.4300000000000002</v>
      </c>
      <c r="CO357" s="39">
        <v>0.37</v>
      </c>
      <c r="CP357" s="39">
        <v>2.56</v>
      </c>
      <c r="CQ357" s="39">
        <v>0.71</v>
      </c>
      <c r="CR357" s="39">
        <v>0.71</v>
      </c>
      <c r="CS357" s="39">
        <v>0.41</v>
      </c>
      <c r="CT357" s="39">
        <v>0.09</v>
      </c>
    </row>
    <row r="358" spans="1:98">
      <c r="A358" s="1" t="s">
        <v>289</v>
      </c>
      <c r="B358" s="4" t="s">
        <v>290</v>
      </c>
      <c r="C358" s="1" t="s">
        <v>576</v>
      </c>
      <c r="D358" s="63">
        <v>67.22</v>
      </c>
      <c r="E358" s="63">
        <v>2.93</v>
      </c>
      <c r="F358" s="1" t="s">
        <v>308</v>
      </c>
      <c r="G358" s="1" t="s">
        <v>212</v>
      </c>
      <c r="H358" s="1" t="s">
        <v>139</v>
      </c>
      <c r="I358" s="9">
        <v>754.2</v>
      </c>
      <c r="J358" s="38" t="s">
        <v>256</v>
      </c>
      <c r="L358" s="4" t="s">
        <v>426</v>
      </c>
      <c r="M358" s="78" t="s">
        <v>866</v>
      </c>
      <c r="N358" s="78"/>
      <c r="Q358" s="1" t="s">
        <v>312</v>
      </c>
      <c r="R358" s="4">
        <v>47.4</v>
      </c>
      <c r="S358" s="1">
        <v>1.82</v>
      </c>
      <c r="T358" s="1">
        <v>14.37</v>
      </c>
      <c r="U358" s="1">
        <v>8.08</v>
      </c>
      <c r="V358" s="1">
        <v>5.59</v>
      </c>
      <c r="W358" s="1">
        <v>0.16</v>
      </c>
      <c r="X358" s="1">
        <v>9.3699999999999992</v>
      </c>
      <c r="Y358" s="1">
        <v>8.36</v>
      </c>
      <c r="Z358" s="1">
        <v>2.44</v>
      </c>
      <c r="AA358" s="1">
        <v>0.26</v>
      </c>
      <c r="AB358" s="1">
        <v>0.17</v>
      </c>
      <c r="AC358" s="9">
        <v>2.61</v>
      </c>
      <c r="AD358" s="23">
        <f>SUM(R358:AB358)+AC358</f>
        <v>100.63000000000001</v>
      </c>
      <c r="AE358" s="21">
        <f>V358+0.899*U358</f>
        <v>12.85392</v>
      </c>
      <c r="AF358" s="23">
        <f>(X358/40.3)/((X358/40.3)+(AE358/71.844))</f>
        <v>0.56513030683294407</v>
      </c>
      <c r="AH358" s="16">
        <f t="shared" ref="AH358:AR360" si="305">100*R358/SUM($R358:$AB358)</f>
        <v>48.357478065700874</v>
      </c>
      <c r="AI358" s="16">
        <f t="shared" si="305"/>
        <v>1.8567639257294428</v>
      </c>
      <c r="AJ358" s="16">
        <f t="shared" si="305"/>
        <v>14.660273413589062</v>
      </c>
      <c r="AK358" s="16">
        <f t="shared" si="305"/>
        <v>8.2432156702713719</v>
      </c>
      <c r="AL358" s="16">
        <f t="shared" si="305"/>
        <v>5.7029177718832882</v>
      </c>
      <c r="AM358" s="16">
        <f t="shared" si="305"/>
        <v>0.16323199347072023</v>
      </c>
      <c r="AN358" s="16">
        <f t="shared" si="305"/>
        <v>9.5592736176290529</v>
      </c>
      <c r="AO358" s="16">
        <f t="shared" si="305"/>
        <v>8.5288716588451319</v>
      </c>
      <c r="AP358" s="16">
        <f t="shared" si="305"/>
        <v>2.4892879004284838</v>
      </c>
      <c r="AQ358" s="16">
        <f t="shared" si="305"/>
        <v>0.2652519893899204</v>
      </c>
      <c r="AR358" s="16">
        <f t="shared" si="305"/>
        <v>0.17343399306264026</v>
      </c>
      <c r="AS358" s="16">
        <f>SUM(AH358:AR358)</f>
        <v>100</v>
      </c>
      <c r="AT358" s="16">
        <f>AL358+0.899*AK358</f>
        <v>13.11356865945725</v>
      </c>
      <c r="AV358" s="1" t="s">
        <v>428</v>
      </c>
      <c r="AY358" s="41"/>
      <c r="AZ358" s="41"/>
      <c r="BA358" s="41">
        <v>337</v>
      </c>
      <c r="BB358" s="41"/>
      <c r="BC358" s="41">
        <v>233</v>
      </c>
      <c r="BD358" s="41"/>
      <c r="BE358" s="41">
        <v>54</v>
      </c>
      <c r="BF358" s="41"/>
      <c r="BG358" s="41">
        <v>99</v>
      </c>
      <c r="BH358" s="41"/>
      <c r="BI358" s="41">
        <v>72</v>
      </c>
      <c r="BJ358" s="41"/>
      <c r="BK358" s="41">
        <v>97</v>
      </c>
      <c r="BL358" s="41"/>
      <c r="BM358" s="41"/>
      <c r="BN358" s="41">
        <v>5</v>
      </c>
      <c r="BO358" s="41"/>
      <c r="BP358" s="41"/>
      <c r="BQ358" s="41">
        <v>207</v>
      </c>
      <c r="BR358" s="41"/>
      <c r="BS358" s="41">
        <v>31</v>
      </c>
      <c r="BT358" s="41"/>
      <c r="BU358" s="41">
        <v>107</v>
      </c>
      <c r="BV358" s="41"/>
      <c r="BW358" s="41">
        <v>6</v>
      </c>
    </row>
    <row r="359" spans="1:98">
      <c r="A359" s="1" t="s">
        <v>289</v>
      </c>
      <c r="B359" s="4" t="s">
        <v>290</v>
      </c>
      <c r="C359" s="1" t="s">
        <v>577</v>
      </c>
      <c r="D359" s="63">
        <v>67.22</v>
      </c>
      <c r="E359" s="63">
        <v>2.93</v>
      </c>
      <c r="F359" s="1" t="s">
        <v>308</v>
      </c>
      <c r="G359" s="1" t="s">
        <v>223</v>
      </c>
      <c r="H359" s="1" t="s">
        <v>139</v>
      </c>
      <c r="I359" s="9">
        <v>764.5</v>
      </c>
      <c r="J359" s="38" t="s">
        <v>256</v>
      </c>
      <c r="L359" s="4" t="s">
        <v>426</v>
      </c>
      <c r="M359" s="78" t="s">
        <v>866</v>
      </c>
      <c r="N359" s="78"/>
      <c r="Q359" s="1" t="s">
        <v>312</v>
      </c>
      <c r="R359" s="4">
        <v>48.3</v>
      </c>
      <c r="S359" s="1">
        <v>1.78</v>
      </c>
      <c r="T359" s="1">
        <v>15.04</v>
      </c>
      <c r="U359" s="1">
        <v>5.88</v>
      </c>
      <c r="V359" s="1">
        <v>5.66</v>
      </c>
      <c r="W359" s="1">
        <v>0.18</v>
      </c>
      <c r="X359" s="1">
        <v>8.52</v>
      </c>
      <c r="Y359" s="1">
        <v>9.31</v>
      </c>
      <c r="Z359" s="1">
        <v>2.36</v>
      </c>
      <c r="AA359" s="1">
        <v>0.44</v>
      </c>
      <c r="AB359" s="1">
        <v>0.18</v>
      </c>
      <c r="AC359" s="9">
        <v>2.19</v>
      </c>
      <c r="AD359" s="23">
        <f>SUM(R359:AB359)+AC359</f>
        <v>99.84</v>
      </c>
      <c r="AE359" s="21">
        <f>V359+0.899*U359</f>
        <v>10.946120000000001</v>
      </c>
      <c r="AF359" s="23">
        <f>(X359/40.3)/((X359/40.3)+(AE359/71.844))</f>
        <v>0.58116968714265371</v>
      </c>
      <c r="AH359" s="16">
        <f t="shared" si="305"/>
        <v>49.462365591397848</v>
      </c>
      <c r="AI359" s="16">
        <f t="shared" si="305"/>
        <v>1.8228366615463389</v>
      </c>
      <c r="AJ359" s="16">
        <f t="shared" si="305"/>
        <v>15.401945724526369</v>
      </c>
      <c r="AK359" s="16">
        <f t="shared" si="305"/>
        <v>6.021505376344086</v>
      </c>
      <c r="AL359" s="16">
        <f t="shared" si="305"/>
        <v>5.7962109575012795</v>
      </c>
      <c r="AM359" s="16">
        <f t="shared" si="305"/>
        <v>0.18433179723502302</v>
      </c>
      <c r="AN359" s="16">
        <f t="shared" si="305"/>
        <v>8.7250384024577574</v>
      </c>
      <c r="AO359" s="16">
        <f t="shared" si="305"/>
        <v>9.5340501792114694</v>
      </c>
      <c r="AP359" s="16">
        <f t="shared" si="305"/>
        <v>2.4167946748591906</v>
      </c>
      <c r="AQ359" s="16">
        <f t="shared" si="305"/>
        <v>0.45058883768561186</v>
      </c>
      <c r="AR359" s="16">
        <f t="shared" si="305"/>
        <v>0.18433179723502302</v>
      </c>
      <c r="AS359" s="16">
        <f>SUM(AH359:AR359)</f>
        <v>99.999999999999986</v>
      </c>
      <c r="AT359" s="16">
        <f>AL359+0.899*AK359</f>
        <v>11.209544290834613</v>
      </c>
      <c r="AV359" s="1" t="s">
        <v>428</v>
      </c>
      <c r="AY359" s="41"/>
      <c r="AZ359" s="41"/>
      <c r="BA359" s="41">
        <v>341</v>
      </c>
      <c r="BB359" s="41"/>
      <c r="BC359" s="41">
        <v>262</v>
      </c>
      <c r="BD359" s="41"/>
      <c r="BE359" s="41">
        <v>43</v>
      </c>
      <c r="BF359" s="41"/>
      <c r="BG359" s="41">
        <v>100</v>
      </c>
      <c r="BH359" s="41"/>
      <c r="BI359" s="41">
        <v>88</v>
      </c>
      <c r="BJ359" s="41"/>
      <c r="BK359" s="41">
        <v>101</v>
      </c>
      <c r="BL359" s="41"/>
      <c r="BM359" s="41"/>
      <c r="BN359" s="41">
        <v>4</v>
      </c>
      <c r="BO359" s="41"/>
      <c r="BP359" s="41"/>
      <c r="BQ359" s="41">
        <v>256</v>
      </c>
      <c r="BR359" s="41"/>
      <c r="BS359" s="41">
        <v>28</v>
      </c>
      <c r="BT359" s="41"/>
      <c r="BU359" s="41">
        <v>108</v>
      </c>
      <c r="BV359" s="41"/>
      <c r="BW359" s="41">
        <v>6</v>
      </c>
    </row>
    <row r="360" spans="1:98">
      <c r="A360" s="1" t="s">
        <v>289</v>
      </c>
      <c r="B360" s="4" t="s">
        <v>290</v>
      </c>
      <c r="C360" s="1" t="s">
        <v>578</v>
      </c>
      <c r="D360" s="63">
        <v>67.22</v>
      </c>
      <c r="E360" s="63">
        <v>2.93</v>
      </c>
      <c r="F360" s="1" t="s">
        <v>308</v>
      </c>
      <c r="G360" s="1" t="s">
        <v>176</v>
      </c>
      <c r="H360" s="1" t="s">
        <v>137</v>
      </c>
      <c r="I360" s="9">
        <v>775</v>
      </c>
      <c r="J360" s="38" t="s">
        <v>256</v>
      </c>
      <c r="L360" s="4" t="s">
        <v>426</v>
      </c>
      <c r="M360" s="78" t="s">
        <v>866</v>
      </c>
      <c r="N360" s="78"/>
      <c r="Q360" s="1" t="s">
        <v>312</v>
      </c>
      <c r="R360" s="4">
        <v>47.6</v>
      </c>
      <c r="S360" s="1">
        <v>2.66</v>
      </c>
      <c r="T360" s="1">
        <v>13.56</v>
      </c>
      <c r="U360" s="1">
        <v>6.03</v>
      </c>
      <c r="V360" s="1">
        <v>7.34</v>
      </c>
      <c r="W360" s="1">
        <v>0.19</v>
      </c>
      <c r="X360" s="1">
        <v>7.3</v>
      </c>
      <c r="Y360" s="1">
        <v>9.77</v>
      </c>
      <c r="Z360" s="1">
        <v>2.63</v>
      </c>
      <c r="AA360" s="1">
        <v>0.23</v>
      </c>
      <c r="AB360" s="1">
        <v>0.27</v>
      </c>
      <c r="AC360" s="9">
        <v>1.47</v>
      </c>
      <c r="AD360" s="23">
        <f>SUM(R360:AB360)+AC360</f>
        <v>99.05</v>
      </c>
      <c r="AE360" s="21">
        <f>V360+0.899*U360</f>
        <v>12.76097</v>
      </c>
      <c r="AF360" s="23">
        <f>(X360/40.3)/((X360/40.3)+(AE360/71.844))</f>
        <v>0.50490701422514739</v>
      </c>
      <c r="AH360" s="16">
        <f t="shared" si="305"/>
        <v>48.780487804878049</v>
      </c>
      <c r="AI360" s="16">
        <f t="shared" si="305"/>
        <v>2.7259684361549499</v>
      </c>
      <c r="AJ360" s="16">
        <f t="shared" si="305"/>
        <v>13.896290223406435</v>
      </c>
      <c r="AK360" s="16">
        <f t="shared" si="305"/>
        <v>6.1795449887271987</v>
      </c>
      <c r="AL360" s="16">
        <f t="shared" si="305"/>
        <v>7.5220332035253126</v>
      </c>
      <c r="AM360" s="16">
        <f t="shared" si="305"/>
        <v>0.19471203115392499</v>
      </c>
      <c r="AN360" s="16">
        <f t="shared" si="305"/>
        <v>7.4810411969665918</v>
      </c>
      <c r="AO360" s="16">
        <f t="shared" si="305"/>
        <v>10.012297601967617</v>
      </c>
      <c r="AP360" s="16">
        <f t="shared" si="305"/>
        <v>2.6952244312359088</v>
      </c>
      <c r="AQ360" s="16">
        <f t="shared" si="305"/>
        <v>0.23570403771264603</v>
      </c>
      <c r="AR360" s="16">
        <f t="shared" si="305"/>
        <v>0.27669604427136707</v>
      </c>
      <c r="AS360" s="16">
        <f>SUM(AH360:AR360)</f>
        <v>100</v>
      </c>
      <c r="AT360" s="16">
        <f>AL360+0.899*AK360</f>
        <v>13.077444148391065</v>
      </c>
      <c r="AV360" s="1" t="s">
        <v>428</v>
      </c>
      <c r="AY360" s="41">
        <v>43.9</v>
      </c>
      <c r="AZ360" s="41"/>
      <c r="BA360" s="41">
        <v>424</v>
      </c>
      <c r="BB360" s="41"/>
      <c r="BC360" s="41">
        <v>256</v>
      </c>
      <c r="BD360" s="41"/>
      <c r="BE360" s="41">
        <v>47.3</v>
      </c>
      <c r="BF360" s="41"/>
      <c r="BG360" s="41">
        <v>95</v>
      </c>
      <c r="BH360" s="41"/>
      <c r="BI360" s="41">
        <v>275</v>
      </c>
      <c r="BJ360" s="41"/>
      <c r="BK360" s="41">
        <v>136</v>
      </c>
      <c r="BL360" s="41"/>
      <c r="BM360" s="41"/>
      <c r="BN360" s="41">
        <v>6</v>
      </c>
      <c r="BO360" s="41"/>
      <c r="BP360" s="41"/>
      <c r="BQ360" s="41">
        <v>226</v>
      </c>
      <c r="BR360" s="41"/>
      <c r="BS360" s="41">
        <v>39</v>
      </c>
      <c r="BT360" s="41"/>
      <c r="BU360" s="41">
        <v>157</v>
      </c>
      <c r="BV360" s="41"/>
      <c r="BW360" s="41">
        <v>11</v>
      </c>
    </row>
    <row r="361" spans="1:98">
      <c r="A361" s="1" t="s">
        <v>289</v>
      </c>
      <c r="B361" s="4" t="s">
        <v>290</v>
      </c>
      <c r="C361" s="40" t="s">
        <v>85</v>
      </c>
      <c r="D361" s="63">
        <v>67.22</v>
      </c>
      <c r="E361" s="63">
        <v>2.93</v>
      </c>
      <c r="F361" s="1" t="s">
        <v>308</v>
      </c>
      <c r="G361" s="4"/>
      <c r="H361" s="4"/>
      <c r="J361" s="38" t="s">
        <v>256</v>
      </c>
      <c r="K361" s="40"/>
      <c r="L361" s="4" t="s">
        <v>423</v>
      </c>
      <c r="M361" s="78" t="s">
        <v>867</v>
      </c>
      <c r="N361" s="78"/>
      <c r="O361" s="4"/>
      <c r="P361" s="4"/>
      <c r="Q361" s="4"/>
      <c r="AD361" s="23"/>
      <c r="AE361" s="23"/>
      <c r="AF361" s="23"/>
      <c r="AG361" s="45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45"/>
      <c r="AV361" s="4"/>
      <c r="AY361" s="39">
        <v>43.34</v>
      </c>
      <c r="BR361" s="39">
        <v>32.61</v>
      </c>
      <c r="BS361" s="39"/>
      <c r="BT361" s="39">
        <v>186.13</v>
      </c>
      <c r="BV361" s="39">
        <v>10.31</v>
      </c>
      <c r="BW361" s="39"/>
      <c r="CA361" s="39">
        <v>48.15</v>
      </c>
      <c r="CB361" s="39">
        <v>7.7</v>
      </c>
      <c r="CC361" s="39">
        <v>21.7</v>
      </c>
      <c r="CD361" s="39">
        <v>3.17</v>
      </c>
      <c r="CE361" s="39">
        <v>16.13</v>
      </c>
      <c r="CF361" s="39">
        <v>4.8600000000000003</v>
      </c>
      <c r="CG361" s="39">
        <v>1.65</v>
      </c>
      <c r="CH361" s="39">
        <v>5.26</v>
      </c>
      <c r="CI361" s="39">
        <v>0.95</v>
      </c>
      <c r="CJ361" s="39">
        <v>5.79</v>
      </c>
      <c r="CK361" s="39">
        <v>1.1399999999999999</v>
      </c>
      <c r="CL361" s="39">
        <v>3.21</v>
      </c>
      <c r="CM361" s="39">
        <v>0.48</v>
      </c>
      <c r="CN361" s="39">
        <v>2.83</v>
      </c>
      <c r="CO361" s="39">
        <v>0.42</v>
      </c>
      <c r="CP361" s="39">
        <v>4.3600000000000003</v>
      </c>
      <c r="CQ361" s="39">
        <v>0.52</v>
      </c>
      <c r="CR361" s="39">
        <v>0.31</v>
      </c>
      <c r="CS361" s="39">
        <v>0.71</v>
      </c>
      <c r="CT361" s="39">
        <v>0.16</v>
      </c>
    </row>
    <row r="362" spans="1:98">
      <c r="A362" s="1" t="s">
        <v>289</v>
      </c>
      <c r="B362" s="4" t="s">
        <v>290</v>
      </c>
      <c r="C362" s="40" t="s">
        <v>85</v>
      </c>
      <c r="D362" s="63">
        <v>67.22</v>
      </c>
      <c r="E362" s="63">
        <v>2.93</v>
      </c>
      <c r="F362" s="1" t="s">
        <v>308</v>
      </c>
      <c r="G362" s="4"/>
      <c r="H362" s="4"/>
      <c r="J362" s="38" t="s">
        <v>256</v>
      </c>
      <c r="K362" s="40"/>
      <c r="L362" s="4" t="s">
        <v>423</v>
      </c>
      <c r="M362" s="78" t="s">
        <v>867</v>
      </c>
      <c r="N362" s="78"/>
      <c r="O362" s="40"/>
      <c r="P362" s="4"/>
      <c r="Q362" s="4"/>
      <c r="R362" s="4">
        <v>49.12</v>
      </c>
      <c r="S362" s="4">
        <v>2.41</v>
      </c>
      <c r="T362" s="4">
        <v>13.71</v>
      </c>
      <c r="U362" s="4">
        <v>15.01</v>
      </c>
      <c r="W362" s="4">
        <v>0.15</v>
      </c>
      <c r="X362" s="4">
        <v>8.0399999999999991</v>
      </c>
      <c r="Y362" s="4">
        <v>8.4499999999999993</v>
      </c>
      <c r="Z362" s="4">
        <v>2.65</v>
      </c>
      <c r="AA362" s="4">
        <v>0.26</v>
      </c>
      <c r="AB362" s="4">
        <v>0.2</v>
      </c>
      <c r="AD362" s="23">
        <f>SUM(R362:AB362)+AC362</f>
        <v>100.00000000000004</v>
      </c>
      <c r="AE362" s="21">
        <f>V362+0.899*U362</f>
        <v>13.49399</v>
      </c>
      <c r="AF362" s="23">
        <f>(X362/40.3)/((X362/40.3)+(AE362/71.844))</f>
        <v>0.51507800564237971</v>
      </c>
      <c r="AG362" s="45"/>
      <c r="AH362" s="16">
        <f t="shared" ref="AH362:AR362" si="306">100*R362/SUM($R362:$AB362)</f>
        <v>49.119999999999976</v>
      </c>
      <c r="AI362" s="16">
        <f t="shared" si="306"/>
        <v>2.4099999999999988</v>
      </c>
      <c r="AJ362" s="16">
        <f t="shared" si="306"/>
        <v>13.709999999999994</v>
      </c>
      <c r="AK362" s="16">
        <f t="shared" si="306"/>
        <v>15.009999999999994</v>
      </c>
      <c r="AL362" s="16">
        <f t="shared" si="306"/>
        <v>0</v>
      </c>
      <c r="AM362" s="16">
        <f t="shared" si="306"/>
        <v>0.14999999999999994</v>
      </c>
      <c r="AN362" s="16">
        <f t="shared" si="306"/>
        <v>8.0399999999999956</v>
      </c>
      <c r="AO362" s="16">
        <f t="shared" si="306"/>
        <v>8.4499999999999957</v>
      </c>
      <c r="AP362" s="16">
        <f t="shared" si="306"/>
        <v>2.649999999999999</v>
      </c>
      <c r="AQ362" s="16">
        <f t="shared" si="306"/>
        <v>0.2599999999999999</v>
      </c>
      <c r="AR362" s="16">
        <f t="shared" si="306"/>
        <v>0.19999999999999993</v>
      </c>
      <c r="AS362" s="16">
        <f>SUM(AH362:AR362)</f>
        <v>99.999999999999972</v>
      </c>
      <c r="AT362" s="16">
        <f>AL362+0.899*AK362</f>
        <v>13.493989999999995</v>
      </c>
      <c r="AU362" s="45"/>
      <c r="AV362" s="4"/>
      <c r="AY362" s="39"/>
      <c r="BR362" s="39">
        <v>36.35</v>
      </c>
      <c r="BS362" s="39"/>
      <c r="BT362" s="39">
        <v>174.5</v>
      </c>
      <c r="BV362" s="39">
        <v>11.51</v>
      </c>
      <c r="BW362" s="39"/>
      <c r="CA362" s="39">
        <v>46.93</v>
      </c>
      <c r="CB362" s="39">
        <v>10.98</v>
      </c>
      <c r="CC362" s="39">
        <v>25.02</v>
      </c>
      <c r="CD362" s="39">
        <v>3.56</v>
      </c>
      <c r="CE362" s="39">
        <v>18.22</v>
      </c>
      <c r="CF362" s="39">
        <v>5.3</v>
      </c>
      <c r="CG362" s="39">
        <v>1.81</v>
      </c>
      <c r="CH362" s="39">
        <v>5.79</v>
      </c>
      <c r="CI362" s="39">
        <v>1.01</v>
      </c>
      <c r="CJ362" s="39">
        <v>6.2</v>
      </c>
      <c r="CK362" s="39">
        <v>1.23</v>
      </c>
      <c r="CL362" s="39">
        <v>3.34</v>
      </c>
      <c r="CM362" s="39">
        <v>0.51</v>
      </c>
      <c r="CN362" s="39">
        <v>2.94</v>
      </c>
      <c r="CO362" s="39">
        <v>0.43</v>
      </c>
      <c r="CP362" s="39">
        <v>3.69</v>
      </c>
      <c r="CQ362" s="39">
        <v>0.56000000000000005</v>
      </c>
      <c r="CR362" s="39">
        <v>1.22</v>
      </c>
      <c r="CS362" s="39">
        <v>0.31</v>
      </c>
      <c r="CT362" s="39">
        <v>0.1</v>
      </c>
    </row>
    <row r="363" spans="1:98">
      <c r="A363" s="1" t="s">
        <v>289</v>
      </c>
      <c r="B363" s="4" t="s">
        <v>290</v>
      </c>
      <c r="C363" s="38" t="s">
        <v>85</v>
      </c>
      <c r="D363" s="63">
        <v>67.22</v>
      </c>
      <c r="E363" s="63">
        <v>2.93</v>
      </c>
      <c r="F363" s="1" t="s">
        <v>308</v>
      </c>
      <c r="G363" s="37"/>
      <c r="H363" s="37"/>
      <c r="I363" s="64"/>
      <c r="J363" s="38" t="s">
        <v>256</v>
      </c>
      <c r="K363" s="37"/>
      <c r="L363" s="4" t="s">
        <v>423</v>
      </c>
      <c r="M363" s="78" t="s">
        <v>867</v>
      </c>
      <c r="N363" s="78"/>
      <c r="O363" s="16" t="s">
        <v>82</v>
      </c>
      <c r="P363" s="12"/>
      <c r="Q363" s="16"/>
      <c r="R363" s="25"/>
      <c r="S363" s="25"/>
      <c r="T363" s="25"/>
      <c r="U363" s="25"/>
      <c r="V363" s="26"/>
      <c r="W363" s="25"/>
      <c r="X363" s="25"/>
      <c r="Y363" s="25"/>
      <c r="Z363" s="25"/>
      <c r="AA363" s="25"/>
      <c r="AB363" s="25"/>
      <c r="AC363" s="15"/>
      <c r="AD363" s="23"/>
      <c r="AE363" s="23"/>
      <c r="AF363" s="23"/>
      <c r="AG363" s="45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45"/>
      <c r="AV363" s="16"/>
      <c r="AW363" s="15"/>
      <c r="AX363" s="15"/>
      <c r="AY363" s="39">
        <v>47.26</v>
      </c>
      <c r="AZ363" s="39">
        <v>421.94</v>
      </c>
      <c r="BA363" s="39"/>
      <c r="BB363" s="15"/>
      <c r="BC363" s="15"/>
      <c r="BD363" s="39">
        <v>53.75</v>
      </c>
      <c r="BE363" s="39"/>
      <c r="BF363" s="15"/>
      <c r="BG363" s="39">
        <v>86.71</v>
      </c>
      <c r="BH363" s="39">
        <v>182.68</v>
      </c>
      <c r="BI363" s="39"/>
      <c r="BJ363" s="39">
        <v>123.69</v>
      </c>
      <c r="BK363" s="39"/>
      <c r="BL363" s="39">
        <v>5.49</v>
      </c>
      <c r="BM363" s="39"/>
      <c r="BN363" s="15"/>
      <c r="BO363" s="15"/>
      <c r="BP363" s="15"/>
      <c r="BQ363" s="39">
        <v>166.9</v>
      </c>
      <c r="BR363" s="39">
        <v>31.72</v>
      </c>
      <c r="BS363" s="15"/>
      <c r="BT363" s="39">
        <v>127.05</v>
      </c>
      <c r="BV363" s="39">
        <v>8.18</v>
      </c>
      <c r="BW363" s="39"/>
      <c r="BX363" s="15"/>
      <c r="BY363" s="15"/>
      <c r="BZ363" s="39">
        <v>0.01</v>
      </c>
      <c r="CA363" s="39">
        <v>44.72</v>
      </c>
      <c r="CB363" s="39">
        <v>8.1</v>
      </c>
      <c r="CC363" s="39">
        <v>22.16</v>
      </c>
      <c r="CD363" s="39">
        <v>3</v>
      </c>
      <c r="CE363" s="39">
        <v>16.72</v>
      </c>
      <c r="CF363" s="39">
        <v>4.8499999999999996</v>
      </c>
      <c r="CG363" s="39">
        <v>1.5</v>
      </c>
      <c r="CH363" s="39">
        <v>5.01</v>
      </c>
      <c r="CI363" s="39">
        <v>0.93</v>
      </c>
      <c r="CJ363" s="39">
        <v>5.17</v>
      </c>
      <c r="CK363" s="39">
        <v>1.06</v>
      </c>
      <c r="CL363" s="39">
        <v>2.89</v>
      </c>
      <c r="CM363" s="39">
        <v>0.54</v>
      </c>
      <c r="CN363" s="39">
        <v>2.61</v>
      </c>
      <c r="CO363" s="39">
        <v>0.38</v>
      </c>
      <c r="CP363" s="39">
        <v>3.23</v>
      </c>
      <c r="CQ363" s="39">
        <v>0.86</v>
      </c>
      <c r="CR363" s="39">
        <v>0.24</v>
      </c>
      <c r="CS363" s="39">
        <v>0.6</v>
      </c>
      <c r="CT363" s="39">
        <v>0.12</v>
      </c>
    </row>
    <row r="364" spans="1:98">
      <c r="A364" s="1" t="s">
        <v>289</v>
      </c>
      <c r="B364" s="4" t="s">
        <v>290</v>
      </c>
      <c r="C364" s="40" t="s">
        <v>682</v>
      </c>
      <c r="D364" s="63">
        <v>67.22</v>
      </c>
      <c r="E364" s="63">
        <v>2.93</v>
      </c>
      <c r="F364" s="1" t="s">
        <v>308</v>
      </c>
      <c r="G364" s="4"/>
      <c r="H364" s="4"/>
      <c r="J364" s="38" t="s">
        <v>256</v>
      </c>
      <c r="K364" s="40"/>
      <c r="L364" s="4" t="s">
        <v>423</v>
      </c>
      <c r="M364" s="78" t="s">
        <v>867</v>
      </c>
      <c r="N364" s="78"/>
      <c r="O364" s="4"/>
      <c r="P364" s="4"/>
      <c r="Q364" s="4"/>
      <c r="AD364" s="23"/>
      <c r="AE364" s="23"/>
      <c r="AF364" s="23"/>
      <c r="AG364" s="45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45"/>
      <c r="AV364" s="4"/>
      <c r="AY364" s="39">
        <v>35.03</v>
      </c>
      <c r="BR364" s="39">
        <v>39.78</v>
      </c>
      <c r="BS364" s="39"/>
      <c r="BT364" s="39">
        <v>146.19</v>
      </c>
      <c r="BV364" s="39">
        <v>10.84</v>
      </c>
      <c r="BW364" s="39"/>
      <c r="CA364" s="39">
        <v>52.97</v>
      </c>
      <c r="CB364" s="39">
        <v>8.2799999999999994</v>
      </c>
      <c r="CC364" s="39">
        <v>24.94</v>
      </c>
      <c r="CD364" s="39">
        <v>3.7</v>
      </c>
      <c r="CE364" s="39">
        <v>19.12</v>
      </c>
      <c r="CF364" s="39">
        <v>5.71</v>
      </c>
      <c r="CG364" s="39">
        <v>1.96</v>
      </c>
      <c r="CH364" s="39">
        <v>6.72</v>
      </c>
      <c r="CI364" s="39">
        <v>1.19</v>
      </c>
      <c r="CJ364" s="39">
        <v>7.24</v>
      </c>
      <c r="CK364" s="39">
        <v>1.47</v>
      </c>
      <c r="CL364" s="39">
        <v>4.0999999999999996</v>
      </c>
      <c r="CM364" s="39">
        <v>0.62</v>
      </c>
      <c r="CN364" s="39">
        <v>3.69</v>
      </c>
      <c r="CO364" s="39">
        <v>0.55000000000000004</v>
      </c>
      <c r="CP364" s="39">
        <v>3.93</v>
      </c>
      <c r="CQ364" s="39">
        <v>0.63</v>
      </c>
      <c r="CR364" s="39">
        <v>0.71</v>
      </c>
      <c r="CS364" s="39">
        <v>0.85</v>
      </c>
      <c r="CT364" s="39">
        <v>0.18</v>
      </c>
    </row>
    <row r="365" spans="1:98">
      <c r="A365" s="1" t="s">
        <v>289</v>
      </c>
      <c r="B365" s="4" t="s">
        <v>290</v>
      </c>
      <c r="C365" s="40" t="s">
        <v>683</v>
      </c>
      <c r="D365" s="63">
        <v>67.22</v>
      </c>
      <c r="E365" s="63">
        <v>2.93</v>
      </c>
      <c r="F365" s="1" t="s">
        <v>308</v>
      </c>
      <c r="G365" s="4"/>
      <c r="H365" s="4"/>
      <c r="J365" s="38" t="s">
        <v>256</v>
      </c>
      <c r="K365" s="40"/>
      <c r="L365" s="4" t="s">
        <v>423</v>
      </c>
      <c r="M365" s="78" t="s">
        <v>867</v>
      </c>
      <c r="N365" s="78"/>
      <c r="O365" s="4"/>
      <c r="P365" s="4"/>
      <c r="Q365" s="4"/>
      <c r="AD365" s="23"/>
      <c r="AE365" s="23"/>
      <c r="AF365" s="23"/>
      <c r="AG365" s="45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45"/>
      <c r="AV365" s="4"/>
      <c r="AY365" s="39"/>
      <c r="BR365" s="39">
        <v>38.58</v>
      </c>
      <c r="BS365" s="39"/>
      <c r="BT365" s="39">
        <v>162.78</v>
      </c>
      <c r="BV365" s="39">
        <v>11.13</v>
      </c>
      <c r="BW365" s="39"/>
      <c r="CA365" s="39">
        <v>50.84</v>
      </c>
      <c r="CB365" s="39">
        <v>9.66</v>
      </c>
      <c r="CC365" s="39">
        <v>25.78</v>
      </c>
      <c r="CD365" s="39">
        <v>3.77</v>
      </c>
      <c r="CE365" s="39">
        <v>19.809999999999999</v>
      </c>
      <c r="CF365" s="39">
        <v>5.84</v>
      </c>
      <c r="CG365" s="39">
        <v>2</v>
      </c>
      <c r="CH365" s="39">
        <v>6.87</v>
      </c>
      <c r="CI365" s="39">
        <v>1.2</v>
      </c>
      <c r="CJ365" s="39">
        <v>7.46</v>
      </c>
      <c r="CK365" s="39">
        <v>1.5</v>
      </c>
      <c r="CL365" s="39">
        <v>4.16</v>
      </c>
      <c r="CM365" s="39">
        <v>0.66</v>
      </c>
      <c r="CN365" s="39">
        <v>3.74</v>
      </c>
      <c r="CO365" s="39">
        <v>0.56000000000000005</v>
      </c>
      <c r="CP365" s="39">
        <v>4.2699999999999996</v>
      </c>
      <c r="CQ365" s="39">
        <v>0.64</v>
      </c>
      <c r="CR365" s="39">
        <v>1.03</v>
      </c>
      <c r="CS365" s="39">
        <v>0.55000000000000004</v>
      </c>
      <c r="CT365" s="39">
        <v>0.14000000000000001</v>
      </c>
    </row>
    <row r="366" spans="1:98">
      <c r="A366" s="1" t="s">
        <v>289</v>
      </c>
      <c r="B366" s="4" t="s">
        <v>290</v>
      </c>
      <c r="C366" s="1" t="s">
        <v>579</v>
      </c>
      <c r="D366" s="63">
        <v>67.22</v>
      </c>
      <c r="E366" s="63">
        <v>2.93</v>
      </c>
      <c r="F366" s="1" t="s">
        <v>308</v>
      </c>
      <c r="G366" s="1" t="s">
        <v>215</v>
      </c>
      <c r="H366" s="1" t="s">
        <v>137</v>
      </c>
      <c r="I366" s="9">
        <v>784.1</v>
      </c>
      <c r="J366" s="38" t="s">
        <v>256</v>
      </c>
      <c r="L366" s="4" t="s">
        <v>426</v>
      </c>
      <c r="M366" s="78" t="s">
        <v>866</v>
      </c>
      <c r="N366" s="78"/>
      <c r="Q366" s="1" t="s">
        <v>312</v>
      </c>
      <c r="R366" s="4">
        <v>47.2</v>
      </c>
      <c r="S366" s="1">
        <v>2.31</v>
      </c>
      <c r="T366" s="1">
        <v>14.64</v>
      </c>
      <c r="U366" s="1">
        <v>7.6</v>
      </c>
      <c r="V366" s="1">
        <v>5.25</v>
      </c>
      <c r="W366" s="1">
        <v>0.28000000000000003</v>
      </c>
      <c r="X366" s="1">
        <v>8.67</v>
      </c>
      <c r="Y366" s="1">
        <v>7.76</v>
      </c>
      <c r="Z366" s="1">
        <v>2.69</v>
      </c>
      <c r="AA366" s="1">
        <v>0.34</v>
      </c>
      <c r="AB366" s="1">
        <v>0.22</v>
      </c>
      <c r="AC366" s="9">
        <v>3.21</v>
      </c>
      <c r="AD366" s="23">
        <f>SUM(R366:AB366)+AC366</f>
        <v>100.17</v>
      </c>
      <c r="AE366" s="21">
        <f>V366+0.899*U366</f>
        <v>12.0824</v>
      </c>
      <c r="AF366" s="23">
        <f>(X366/40.3)/((X366/40.3)+(AE366/71.844))</f>
        <v>0.5612568730344577</v>
      </c>
      <c r="AH366" s="16">
        <f t="shared" ref="AH366:AR368" si="307">100*R366/SUM($R366:$AB366)</f>
        <v>48.679867986798676</v>
      </c>
      <c r="AI366" s="16">
        <f t="shared" si="307"/>
        <v>2.3824257425742572</v>
      </c>
      <c r="AJ366" s="16">
        <f t="shared" si="307"/>
        <v>15.099009900990097</v>
      </c>
      <c r="AK366" s="16">
        <f t="shared" si="307"/>
        <v>7.8382838283828375</v>
      </c>
      <c r="AL366" s="16">
        <f t="shared" si="307"/>
        <v>5.4146039603960388</v>
      </c>
      <c r="AM366" s="16">
        <f t="shared" si="307"/>
        <v>0.28877887788778878</v>
      </c>
      <c r="AN366" s="16">
        <f t="shared" si="307"/>
        <v>8.9418316831683153</v>
      </c>
      <c r="AO366" s="16">
        <f t="shared" si="307"/>
        <v>8.003300330033003</v>
      </c>
      <c r="AP366" s="16">
        <f t="shared" si="307"/>
        <v>2.774339933993399</v>
      </c>
      <c r="AQ366" s="16">
        <f t="shared" si="307"/>
        <v>0.35066006600660066</v>
      </c>
      <c r="AR366" s="16">
        <f t="shared" si="307"/>
        <v>0.22689768976897687</v>
      </c>
      <c r="AS366" s="16">
        <f>SUM(AH366:AR366)</f>
        <v>99.999999999999986</v>
      </c>
      <c r="AT366" s="16">
        <f>AL366+0.899*AK366</f>
        <v>12.46122112211221</v>
      </c>
      <c r="AV366" s="1" t="s">
        <v>428</v>
      </c>
      <c r="AY366" s="41"/>
      <c r="AZ366" s="41"/>
      <c r="BA366" s="41">
        <v>394</v>
      </c>
      <c r="BB366" s="41"/>
      <c r="BC366" s="41">
        <v>252</v>
      </c>
      <c r="BD366" s="41"/>
      <c r="BE366" s="41">
        <v>39</v>
      </c>
      <c r="BF366" s="41"/>
      <c r="BG366" s="41">
        <v>119</v>
      </c>
      <c r="BH366" s="41"/>
      <c r="BI366" s="41">
        <v>103</v>
      </c>
      <c r="BJ366" s="41"/>
      <c r="BK366" s="41">
        <v>144</v>
      </c>
      <c r="BL366" s="41"/>
      <c r="BM366" s="41"/>
      <c r="BN366" s="41">
        <v>5</v>
      </c>
      <c r="BO366" s="41"/>
      <c r="BP366" s="41"/>
      <c r="BQ366" s="41">
        <v>194</v>
      </c>
      <c r="BR366" s="41"/>
      <c r="BS366" s="41">
        <v>29</v>
      </c>
      <c r="BT366" s="41"/>
      <c r="BU366" s="41">
        <v>132</v>
      </c>
      <c r="BV366" s="41"/>
      <c r="BW366" s="41">
        <v>8</v>
      </c>
      <c r="CB366" s="9">
        <v>4.4000000000000004</v>
      </c>
      <c r="CC366" s="9">
        <v>12.1</v>
      </c>
      <c r="CE366" s="9">
        <v>9.1999999999999993</v>
      </c>
      <c r="CF366" s="9">
        <v>2.98</v>
      </c>
      <c r="CG366" s="9">
        <v>1.1599999999999999</v>
      </c>
      <c r="CI366" s="9">
        <v>0.66</v>
      </c>
      <c r="CN366" s="9">
        <v>2.1</v>
      </c>
      <c r="CO366" s="9">
        <v>0.32</v>
      </c>
      <c r="CP366" s="9">
        <v>1.96</v>
      </c>
      <c r="CQ366" s="9">
        <v>0.31</v>
      </c>
      <c r="CS366" s="9">
        <v>0.42</v>
      </c>
    </row>
    <row r="367" spans="1:98">
      <c r="A367" s="1" t="s">
        <v>289</v>
      </c>
      <c r="B367" s="4" t="s">
        <v>290</v>
      </c>
      <c r="C367" s="1" t="s">
        <v>580</v>
      </c>
      <c r="D367" s="63">
        <v>67.22</v>
      </c>
      <c r="E367" s="63">
        <v>2.93</v>
      </c>
      <c r="F367" s="1" t="s">
        <v>308</v>
      </c>
      <c r="G367" s="1" t="s">
        <v>136</v>
      </c>
      <c r="H367" s="1" t="s">
        <v>137</v>
      </c>
      <c r="I367" s="9">
        <v>797.3</v>
      </c>
      <c r="J367" s="38" t="s">
        <v>256</v>
      </c>
      <c r="L367" s="4" t="s">
        <v>426</v>
      </c>
      <c r="M367" s="78" t="s">
        <v>866</v>
      </c>
      <c r="N367" s="78"/>
      <c r="Q367" s="1" t="s">
        <v>312</v>
      </c>
      <c r="R367" s="4">
        <v>47.5</v>
      </c>
      <c r="S367" s="1">
        <v>2.72</v>
      </c>
      <c r="T367" s="1">
        <v>14.08</v>
      </c>
      <c r="U367" s="1">
        <v>6.58</v>
      </c>
      <c r="V367" s="1">
        <v>6.71</v>
      </c>
      <c r="W367" s="1">
        <v>0.32</v>
      </c>
      <c r="X367" s="1">
        <v>7.34</v>
      </c>
      <c r="Y367" s="1">
        <v>9.3000000000000007</v>
      </c>
      <c r="Z367" s="1">
        <v>2.57</v>
      </c>
      <c r="AA367" s="1">
        <v>0.12</v>
      </c>
      <c r="AB367" s="1">
        <v>0.27</v>
      </c>
      <c r="AC367" s="9">
        <v>1.78</v>
      </c>
      <c r="AD367" s="23">
        <f>SUM(R367:AB367)+AC367</f>
        <v>99.289999999999978</v>
      </c>
      <c r="AE367" s="21">
        <f>V367+0.899*U367</f>
        <v>12.62542</v>
      </c>
      <c r="AF367" s="23">
        <f>(X367/40.3)/((X367/40.3)+(AE367/71.844))</f>
        <v>0.50894210482217883</v>
      </c>
      <c r="AH367" s="16">
        <f t="shared" si="307"/>
        <v>48.712952517690503</v>
      </c>
      <c r="AI367" s="16">
        <f t="shared" si="307"/>
        <v>2.7894574915393298</v>
      </c>
      <c r="AJ367" s="16">
        <f t="shared" si="307"/>
        <v>14.439544662085943</v>
      </c>
      <c r="AK367" s="16">
        <f t="shared" si="307"/>
        <v>6.7480258435032319</v>
      </c>
      <c r="AL367" s="16">
        <f t="shared" si="307"/>
        <v>6.8813455030253321</v>
      </c>
      <c r="AM367" s="16">
        <f t="shared" si="307"/>
        <v>0.32817146959286236</v>
      </c>
      <c r="AN367" s="16">
        <f t="shared" si="307"/>
        <v>7.5274330837862804</v>
      </c>
      <c r="AO367" s="16">
        <f t="shared" si="307"/>
        <v>9.5374833350425625</v>
      </c>
      <c r="AP367" s="16">
        <f t="shared" si="307"/>
        <v>2.6356271151676758</v>
      </c>
      <c r="AQ367" s="16">
        <f t="shared" si="307"/>
        <v>0.12306430109732339</v>
      </c>
      <c r="AR367" s="16">
        <f t="shared" si="307"/>
        <v>0.27689467746897761</v>
      </c>
      <c r="AS367" s="16">
        <f>SUM(AH367:AR367)</f>
        <v>100.00000000000003</v>
      </c>
      <c r="AT367" s="16">
        <f>AL367+0.899*AK367</f>
        <v>12.947820736334737</v>
      </c>
      <c r="AV367" s="1" t="s">
        <v>428</v>
      </c>
      <c r="AY367" s="41"/>
      <c r="AZ367" s="41"/>
      <c r="BA367" s="41">
        <v>428</v>
      </c>
      <c r="BB367" s="41"/>
      <c r="BC367" s="41">
        <v>128</v>
      </c>
      <c r="BD367" s="41"/>
      <c r="BE367" s="41">
        <v>45</v>
      </c>
      <c r="BF367" s="41"/>
      <c r="BG367" s="41">
        <v>71</v>
      </c>
      <c r="BH367" s="41"/>
      <c r="BI367" s="41">
        <v>356</v>
      </c>
      <c r="BJ367" s="41"/>
      <c r="BK367" s="41">
        <v>141</v>
      </c>
      <c r="BL367" s="41"/>
      <c r="BM367" s="41"/>
      <c r="BN367" s="41">
        <v>4</v>
      </c>
      <c r="BO367" s="41"/>
      <c r="BP367" s="41"/>
      <c r="BQ367" s="41">
        <v>216</v>
      </c>
      <c r="BR367" s="41"/>
      <c r="BS367" s="41">
        <v>41</v>
      </c>
      <c r="BT367" s="41"/>
      <c r="BU367" s="41">
        <v>159</v>
      </c>
      <c r="BV367" s="41"/>
      <c r="BW367" s="41">
        <v>9</v>
      </c>
      <c r="CB367" s="9">
        <v>5.6</v>
      </c>
      <c r="CC367" s="9">
        <v>15.9</v>
      </c>
      <c r="CE367" s="9">
        <v>13.4</v>
      </c>
      <c r="CF367" s="9">
        <v>3.95</v>
      </c>
      <c r="CG367" s="9">
        <v>1.51</v>
      </c>
      <c r="CI367" s="9">
        <v>0.85</v>
      </c>
      <c r="CN367" s="9">
        <v>2.62</v>
      </c>
      <c r="CO367" s="9">
        <v>0.39</v>
      </c>
      <c r="CP367" s="9">
        <v>2.62</v>
      </c>
      <c r="CQ367" s="9">
        <v>0.41</v>
      </c>
      <c r="CS367" s="9">
        <v>0.59</v>
      </c>
    </row>
    <row r="368" spans="1:98">
      <c r="A368" s="1" t="s">
        <v>289</v>
      </c>
      <c r="B368" s="4" t="s">
        <v>290</v>
      </c>
      <c r="C368" s="1" t="s">
        <v>581</v>
      </c>
      <c r="D368" s="63">
        <v>67.22</v>
      </c>
      <c r="E368" s="63">
        <v>2.93</v>
      </c>
      <c r="F368" s="1" t="s">
        <v>308</v>
      </c>
      <c r="G368" s="1" t="s">
        <v>195</v>
      </c>
      <c r="H368" s="1" t="s">
        <v>141</v>
      </c>
      <c r="I368" s="9">
        <v>801.5</v>
      </c>
      <c r="J368" s="38" t="s">
        <v>256</v>
      </c>
      <c r="L368" s="4" t="s">
        <v>426</v>
      </c>
      <c r="M368" s="78" t="s">
        <v>866</v>
      </c>
      <c r="N368" s="78"/>
      <c r="Q368" s="1" t="s">
        <v>312</v>
      </c>
      <c r="R368" s="4">
        <v>48.6</v>
      </c>
      <c r="S368" s="1">
        <v>1.81</v>
      </c>
      <c r="T368" s="1">
        <v>15.79</v>
      </c>
      <c r="U368" s="1">
        <v>5.34</v>
      </c>
      <c r="V368" s="1">
        <v>5.71</v>
      </c>
      <c r="W368" s="1">
        <v>0.28000000000000003</v>
      </c>
      <c r="X368" s="1">
        <v>7.66</v>
      </c>
      <c r="Y368" s="1">
        <v>9.2200000000000006</v>
      </c>
      <c r="Z368" s="1">
        <v>2.71</v>
      </c>
      <c r="AA368" s="1">
        <v>0.18</v>
      </c>
      <c r="AB368" s="1">
        <v>0.17</v>
      </c>
      <c r="AC368" s="9">
        <v>1.91</v>
      </c>
      <c r="AD368" s="23">
        <f>SUM(R368:AB368)+AC368</f>
        <v>99.38</v>
      </c>
      <c r="AE368" s="21">
        <f>V368+0.899*U368</f>
        <v>10.51066</v>
      </c>
      <c r="AF368" s="23">
        <f>(X368/40.3)/((X368/40.3)+(AE368/71.844))</f>
        <v>0.56507076619959595</v>
      </c>
      <c r="AH368" s="16">
        <f t="shared" si="307"/>
        <v>49.86149584487535</v>
      </c>
      <c r="AI368" s="16">
        <f t="shared" si="307"/>
        <v>1.8569816353749873</v>
      </c>
      <c r="AJ368" s="16">
        <f t="shared" si="307"/>
        <v>16.199856366061354</v>
      </c>
      <c r="AK368" s="16">
        <f t="shared" si="307"/>
        <v>5.4786088027085258</v>
      </c>
      <c r="AL368" s="16">
        <f t="shared" si="307"/>
        <v>5.85821278342054</v>
      </c>
      <c r="AM368" s="16">
        <f t="shared" si="307"/>
        <v>0.28726787729557818</v>
      </c>
      <c r="AN368" s="16">
        <f t="shared" si="307"/>
        <v>7.8588283574433158</v>
      </c>
      <c r="AO368" s="16">
        <f t="shared" si="307"/>
        <v>9.4593208166615383</v>
      </c>
      <c r="AP368" s="16">
        <f t="shared" si="307"/>
        <v>2.7803426695393454</v>
      </c>
      <c r="AQ368" s="16">
        <f t="shared" si="307"/>
        <v>0.18467220683287167</v>
      </c>
      <c r="AR368" s="16">
        <f t="shared" si="307"/>
        <v>0.17441263978660101</v>
      </c>
      <c r="AS368" s="16">
        <f>SUM(AH368:AR368)</f>
        <v>100.00000000000001</v>
      </c>
      <c r="AT368" s="16">
        <f>AL368+0.899*AK368</f>
        <v>10.783482097055504</v>
      </c>
      <c r="AV368" s="1" t="s">
        <v>428</v>
      </c>
      <c r="AY368" s="41">
        <v>37.5</v>
      </c>
      <c r="AZ368" s="41"/>
      <c r="BA368" s="41">
        <v>319</v>
      </c>
      <c r="BB368" s="41"/>
      <c r="BC368" s="41">
        <v>61</v>
      </c>
      <c r="BD368" s="41"/>
      <c r="BE368" s="41">
        <v>53.1</v>
      </c>
      <c r="BF368" s="41"/>
      <c r="BG368" s="41">
        <v>80</v>
      </c>
      <c r="BH368" s="41"/>
      <c r="BI368" s="41">
        <v>384</v>
      </c>
      <c r="BJ368" s="41"/>
      <c r="BK368" s="41">
        <v>119</v>
      </c>
      <c r="BL368" s="41"/>
      <c r="BM368" s="41"/>
      <c r="BN368" s="41">
        <v>6</v>
      </c>
      <c r="BO368" s="41"/>
      <c r="BP368" s="41"/>
      <c r="BQ368" s="41">
        <v>246</v>
      </c>
      <c r="BR368" s="41"/>
      <c r="BS368" s="41">
        <v>29</v>
      </c>
      <c r="BT368" s="41"/>
      <c r="BU368" s="41">
        <v>106</v>
      </c>
      <c r="BV368" s="41"/>
      <c r="BW368" s="41">
        <v>6</v>
      </c>
    </row>
    <row r="369" spans="1:98">
      <c r="A369" s="1" t="s">
        <v>289</v>
      </c>
      <c r="B369" s="4" t="s">
        <v>290</v>
      </c>
      <c r="C369" s="40" t="s">
        <v>684</v>
      </c>
      <c r="D369" s="63">
        <v>67.22</v>
      </c>
      <c r="E369" s="63">
        <v>2.93</v>
      </c>
      <c r="F369" s="1" t="s">
        <v>308</v>
      </c>
      <c r="G369" s="4"/>
      <c r="H369" s="4"/>
      <c r="J369" s="38" t="s">
        <v>256</v>
      </c>
      <c r="K369" s="40"/>
      <c r="L369" s="4" t="s">
        <v>423</v>
      </c>
      <c r="M369" s="78" t="s">
        <v>867</v>
      </c>
      <c r="N369" s="78"/>
      <c r="O369" s="4"/>
      <c r="P369" s="4"/>
      <c r="Q369" s="4"/>
      <c r="AD369" s="23"/>
      <c r="AE369" s="23"/>
      <c r="AF369" s="23"/>
      <c r="AG369" s="45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45"/>
      <c r="AV369" s="4"/>
      <c r="AY369" s="39">
        <v>39.950000000000003</v>
      </c>
      <c r="BR369" s="39">
        <v>30.4</v>
      </c>
      <c r="BS369" s="39"/>
      <c r="BT369" s="39">
        <v>107.06</v>
      </c>
      <c r="BV369" s="39">
        <v>7.75</v>
      </c>
      <c r="BW369" s="39"/>
      <c r="CA369" s="39">
        <v>24.07</v>
      </c>
      <c r="CB369" s="39">
        <v>6.38</v>
      </c>
      <c r="CC369" s="39">
        <v>17.34</v>
      </c>
      <c r="CD369" s="39">
        <v>2.52</v>
      </c>
      <c r="CE369" s="39">
        <v>13.15</v>
      </c>
      <c r="CF369" s="39">
        <v>4.0199999999999996</v>
      </c>
      <c r="CG369" s="39">
        <v>1.45</v>
      </c>
      <c r="CH369" s="39">
        <v>4.8499999999999996</v>
      </c>
      <c r="CI369" s="39">
        <v>0.84</v>
      </c>
      <c r="CJ369" s="39">
        <v>5.0999999999999996</v>
      </c>
      <c r="CK369" s="39">
        <v>1.02</v>
      </c>
      <c r="CL369" s="39">
        <v>2.76</v>
      </c>
      <c r="CM369" s="39">
        <v>0.4</v>
      </c>
      <c r="CN369" s="39">
        <v>2.23</v>
      </c>
      <c r="CO369" s="39">
        <v>0.32</v>
      </c>
      <c r="CP369" s="39">
        <v>2.6</v>
      </c>
      <c r="CQ369" s="39">
        <v>0.39</v>
      </c>
      <c r="CR369" s="39"/>
      <c r="CS369" s="39">
        <v>0.54</v>
      </c>
      <c r="CT369" s="39">
        <v>0.13</v>
      </c>
    </row>
    <row r="370" spans="1:98">
      <c r="A370" s="1" t="s">
        <v>289</v>
      </c>
      <c r="B370" s="4" t="s">
        <v>290</v>
      </c>
      <c r="C370" s="1" t="s">
        <v>582</v>
      </c>
      <c r="D370" s="63">
        <v>67.22</v>
      </c>
      <c r="E370" s="63">
        <v>2.93</v>
      </c>
      <c r="F370" s="1" t="s">
        <v>308</v>
      </c>
      <c r="G370" s="1" t="s">
        <v>234</v>
      </c>
      <c r="H370" s="1" t="s">
        <v>141</v>
      </c>
      <c r="I370" s="9">
        <v>806.4</v>
      </c>
      <c r="J370" s="38" t="s">
        <v>256</v>
      </c>
      <c r="L370" s="4" t="s">
        <v>426</v>
      </c>
      <c r="M370" s="78" t="s">
        <v>866</v>
      </c>
      <c r="N370" s="78"/>
      <c r="Q370" s="1" t="s">
        <v>312</v>
      </c>
      <c r="R370" s="4">
        <v>48.3</v>
      </c>
      <c r="S370" s="1">
        <v>1.83</v>
      </c>
      <c r="T370" s="1">
        <v>14.43</v>
      </c>
      <c r="U370" s="1">
        <v>8.1300000000000008</v>
      </c>
      <c r="V370" s="1">
        <v>4.82</v>
      </c>
      <c r="W370" s="1">
        <v>0.17</v>
      </c>
      <c r="X370" s="1">
        <v>7.14</v>
      </c>
      <c r="Y370" s="1">
        <v>9.98</v>
      </c>
      <c r="Z370" s="1">
        <v>2.2999999999999998</v>
      </c>
      <c r="AA370" s="1">
        <v>0.71</v>
      </c>
      <c r="AB370" s="1">
        <v>0.14000000000000001</v>
      </c>
      <c r="AC370" s="9">
        <v>1.88</v>
      </c>
      <c r="AD370" s="23">
        <f>SUM(R370:AB370)+AC370</f>
        <v>99.829999999999984</v>
      </c>
      <c r="AE370" s="21">
        <f>V370+0.899*U370</f>
        <v>12.128870000000001</v>
      </c>
      <c r="AF370" s="23">
        <f>(X370/40.3)/((X370/40.3)+(AE370/71.844))</f>
        <v>0.51206511946242639</v>
      </c>
      <c r="AH370" s="16">
        <f t="shared" ref="AH370:AR372" si="308">100*R370/SUM($R370:$AB370)</f>
        <v>49.310872894333848</v>
      </c>
      <c r="AI370" s="16">
        <f t="shared" si="308"/>
        <v>1.868300153139357</v>
      </c>
      <c r="AJ370" s="16">
        <f t="shared" si="308"/>
        <v>14.732006125574275</v>
      </c>
      <c r="AK370" s="16">
        <f t="shared" si="308"/>
        <v>8.3001531393568175</v>
      </c>
      <c r="AL370" s="16">
        <f t="shared" si="308"/>
        <v>4.9208779989790719</v>
      </c>
      <c r="AM370" s="16">
        <f t="shared" si="308"/>
        <v>0.17355793772332825</v>
      </c>
      <c r="AN370" s="16">
        <f t="shared" si="308"/>
        <v>7.2894333843797865</v>
      </c>
      <c r="AO370" s="16">
        <f t="shared" si="308"/>
        <v>10.1888718734048</v>
      </c>
      <c r="AP370" s="16">
        <f t="shared" si="308"/>
        <v>2.3481368044920878</v>
      </c>
      <c r="AQ370" s="16">
        <f t="shared" si="308"/>
        <v>0.72485962225625322</v>
      </c>
      <c r="AR370" s="16">
        <f t="shared" si="308"/>
        <v>0.14293006636038799</v>
      </c>
      <c r="AS370" s="16">
        <f>SUM(AH370:AR370)</f>
        <v>100.00000000000003</v>
      </c>
      <c r="AT370" s="16">
        <f>AL370+0.899*AK370</f>
        <v>12.382715671260851</v>
      </c>
      <c r="AV370" s="1" t="s">
        <v>428</v>
      </c>
      <c r="AY370" s="41"/>
      <c r="AZ370" s="41"/>
      <c r="BA370" s="41">
        <v>329</v>
      </c>
      <c r="BB370" s="41"/>
      <c r="BC370" s="41">
        <v>203</v>
      </c>
      <c r="BD370" s="41"/>
      <c r="BE370" s="41">
        <v>44</v>
      </c>
      <c r="BF370" s="41"/>
      <c r="BG370" s="41">
        <v>97</v>
      </c>
      <c r="BH370" s="41"/>
      <c r="BI370" s="41">
        <v>162</v>
      </c>
      <c r="BJ370" s="41"/>
      <c r="BK370" s="41">
        <v>92</v>
      </c>
      <c r="BL370" s="41"/>
      <c r="BM370" s="41"/>
      <c r="BN370" s="41">
        <v>14</v>
      </c>
      <c r="BO370" s="41"/>
      <c r="BP370" s="41"/>
      <c r="BQ370" s="41">
        <v>255</v>
      </c>
      <c r="BR370" s="41"/>
      <c r="BS370" s="41">
        <v>27</v>
      </c>
      <c r="BT370" s="41"/>
      <c r="BU370" s="41">
        <v>104</v>
      </c>
      <c r="BV370" s="41"/>
      <c r="BW370" s="41">
        <v>6</v>
      </c>
    </row>
    <row r="371" spans="1:98">
      <c r="A371" s="1" t="s">
        <v>289</v>
      </c>
      <c r="B371" s="4" t="s">
        <v>290</v>
      </c>
      <c r="C371" s="1" t="s">
        <v>583</v>
      </c>
      <c r="D371" s="63">
        <v>67.22</v>
      </c>
      <c r="E371" s="63">
        <v>2.93</v>
      </c>
      <c r="F371" s="1" t="s">
        <v>308</v>
      </c>
      <c r="G371" s="1" t="s">
        <v>172</v>
      </c>
      <c r="H371" s="1" t="s">
        <v>141</v>
      </c>
      <c r="I371" s="9">
        <v>811.9</v>
      </c>
      <c r="J371" s="38" t="s">
        <v>256</v>
      </c>
      <c r="L371" s="4" t="s">
        <v>426</v>
      </c>
      <c r="M371" s="78" t="s">
        <v>866</v>
      </c>
      <c r="N371" s="78"/>
      <c r="Q371" s="1" t="s">
        <v>312</v>
      </c>
      <c r="R371" s="4">
        <v>48.7</v>
      </c>
      <c r="S371" s="1">
        <v>1.81</v>
      </c>
      <c r="T371" s="1">
        <v>13.72</v>
      </c>
      <c r="U371" s="1">
        <v>4.16</v>
      </c>
      <c r="V371" s="1">
        <v>8.1199999999999992</v>
      </c>
      <c r="W371" s="1">
        <v>0.22</v>
      </c>
      <c r="X371" s="1">
        <v>7.27</v>
      </c>
      <c r="Y371" s="1">
        <v>11.35</v>
      </c>
      <c r="Z371" s="1">
        <v>2.16</v>
      </c>
      <c r="AA371" s="1">
        <v>0.13</v>
      </c>
      <c r="AB371" s="1">
        <v>0.16</v>
      </c>
      <c r="AC371" s="9">
        <v>0.99</v>
      </c>
      <c r="AD371" s="23">
        <f>SUM(R371:AB371)+AC371</f>
        <v>98.789999999999978</v>
      </c>
      <c r="AE371" s="21">
        <f>V371+0.899*U371</f>
        <v>11.859839999999998</v>
      </c>
      <c r="AF371" s="23">
        <f>(X371/40.3)/((X371/40.3)+(AE371/71.844))</f>
        <v>0.52217145635764695</v>
      </c>
      <c r="AH371" s="16">
        <f t="shared" si="308"/>
        <v>49.795501022494896</v>
      </c>
      <c r="AI371" s="16">
        <f t="shared" si="308"/>
        <v>1.8507157464212682</v>
      </c>
      <c r="AJ371" s="16">
        <f t="shared" si="308"/>
        <v>14.028629856850719</v>
      </c>
      <c r="AK371" s="16">
        <f t="shared" si="308"/>
        <v>4.2535787321063401</v>
      </c>
      <c r="AL371" s="16">
        <f t="shared" si="308"/>
        <v>8.3026584867075659</v>
      </c>
      <c r="AM371" s="16">
        <f t="shared" si="308"/>
        <v>0.22494887525562376</v>
      </c>
      <c r="AN371" s="16">
        <f t="shared" si="308"/>
        <v>7.4335378323108401</v>
      </c>
      <c r="AO371" s="16">
        <f t="shared" si="308"/>
        <v>11.605316973415135</v>
      </c>
      <c r="AP371" s="16">
        <f t="shared" si="308"/>
        <v>2.2085889570552153</v>
      </c>
      <c r="AQ371" s="16">
        <f t="shared" si="308"/>
        <v>0.13292433537832313</v>
      </c>
      <c r="AR371" s="16">
        <f t="shared" si="308"/>
        <v>0.16359918200409002</v>
      </c>
      <c r="AS371" s="16">
        <f>SUM(AH371:AR371)</f>
        <v>100</v>
      </c>
      <c r="AT371" s="16">
        <f>AL371+0.899*AK371</f>
        <v>12.126625766871166</v>
      </c>
      <c r="AV371" s="1" t="s">
        <v>428</v>
      </c>
      <c r="AY371" s="41">
        <v>42.6</v>
      </c>
      <c r="AZ371" s="41"/>
      <c r="BA371" s="41">
        <v>336</v>
      </c>
      <c r="BB371" s="41"/>
      <c r="BC371" s="41">
        <v>194</v>
      </c>
      <c r="BD371" s="41"/>
      <c r="BE371" s="41">
        <v>49.9</v>
      </c>
      <c r="BF371" s="41"/>
      <c r="BG371" s="41">
        <v>94</v>
      </c>
      <c r="BH371" s="41"/>
      <c r="BI371" s="41">
        <v>154</v>
      </c>
      <c r="BJ371" s="41"/>
      <c r="BK371" s="41">
        <v>96</v>
      </c>
      <c r="BL371" s="41"/>
      <c r="BM371" s="41"/>
      <c r="BN371" s="41">
        <v>5</v>
      </c>
      <c r="BO371" s="41"/>
      <c r="BP371" s="41"/>
      <c r="BQ371" s="41">
        <v>235</v>
      </c>
      <c r="BR371" s="41"/>
      <c r="BS371" s="41">
        <v>30</v>
      </c>
      <c r="BT371" s="41"/>
      <c r="BU371" s="41">
        <v>104</v>
      </c>
      <c r="BV371" s="41"/>
      <c r="BW371" s="41">
        <v>7</v>
      </c>
      <c r="CB371" s="9">
        <v>3.4</v>
      </c>
      <c r="CC371" s="9">
        <v>9</v>
      </c>
      <c r="CE371" s="9">
        <v>7.3</v>
      </c>
      <c r="CF371" s="9">
        <v>2.6</v>
      </c>
      <c r="CG371" s="9">
        <v>0.96</v>
      </c>
      <c r="CI371" s="9">
        <v>0.56000000000000005</v>
      </c>
      <c r="CN371" s="9">
        <v>2.14</v>
      </c>
      <c r="CO371" s="9">
        <v>0.32</v>
      </c>
      <c r="CP371" s="9">
        <v>1.59</v>
      </c>
      <c r="CS371" s="9">
        <v>0.32</v>
      </c>
    </row>
    <row r="372" spans="1:98">
      <c r="A372" s="1" t="s">
        <v>289</v>
      </c>
      <c r="B372" s="4" t="s">
        <v>290</v>
      </c>
      <c r="C372" s="1" t="s">
        <v>584</v>
      </c>
      <c r="D372" s="63">
        <v>67.22</v>
      </c>
      <c r="E372" s="63">
        <v>2.93</v>
      </c>
      <c r="F372" s="1" t="s">
        <v>308</v>
      </c>
      <c r="G372" s="1" t="s">
        <v>227</v>
      </c>
      <c r="H372" s="1" t="s">
        <v>141</v>
      </c>
      <c r="I372" s="9">
        <v>821.3</v>
      </c>
      <c r="J372" s="38" t="s">
        <v>256</v>
      </c>
      <c r="L372" s="4" t="s">
        <v>426</v>
      </c>
      <c r="M372" s="78" t="s">
        <v>866</v>
      </c>
      <c r="N372" s="78"/>
      <c r="Q372" s="1" t="s">
        <v>312</v>
      </c>
      <c r="R372" s="4">
        <v>48.6</v>
      </c>
      <c r="S372" s="1">
        <v>1.82</v>
      </c>
      <c r="T372" s="1">
        <v>14.04</v>
      </c>
      <c r="U372" s="1">
        <v>8.24</v>
      </c>
      <c r="V372" s="1">
        <v>4.5199999999999996</v>
      </c>
      <c r="W372" s="1">
        <v>0.13</v>
      </c>
      <c r="X372" s="1">
        <v>8.01</v>
      </c>
      <c r="Y372" s="1">
        <v>9.73</v>
      </c>
      <c r="Z372" s="1">
        <v>2.68</v>
      </c>
      <c r="AA372" s="1">
        <v>0.45</v>
      </c>
      <c r="AB372" s="1">
        <v>0.16</v>
      </c>
      <c r="AC372" s="9">
        <v>2.14</v>
      </c>
      <c r="AD372" s="23">
        <f>SUM(R372:AB372)+AC372</f>
        <v>100.52000000000001</v>
      </c>
      <c r="AE372" s="21">
        <f>V372+0.899*U372</f>
        <v>11.927759999999999</v>
      </c>
      <c r="AF372" s="23">
        <f>(X372/40.3)/((X372/40.3)+(AE372/71.844))</f>
        <v>0.54487094127085201</v>
      </c>
      <c r="AH372" s="16">
        <f t="shared" si="308"/>
        <v>49.400284610693227</v>
      </c>
      <c r="AI372" s="16">
        <f t="shared" si="308"/>
        <v>1.8499695059971537</v>
      </c>
      <c r="AJ372" s="16">
        <f t="shared" si="308"/>
        <v>14.271193331978044</v>
      </c>
      <c r="AK372" s="16">
        <f t="shared" si="308"/>
        <v>8.3756861150640365</v>
      </c>
      <c r="AL372" s="16">
        <f t="shared" si="308"/>
        <v>4.5944297621467767</v>
      </c>
      <c r="AM372" s="16">
        <f t="shared" si="308"/>
        <v>0.1321406789997967</v>
      </c>
      <c r="AN372" s="16">
        <f t="shared" si="308"/>
        <v>8.1418987599105499</v>
      </c>
      <c r="AO372" s="16">
        <f t="shared" si="308"/>
        <v>9.8902215897540149</v>
      </c>
      <c r="AP372" s="16">
        <f t="shared" si="308"/>
        <v>2.7241309209188858</v>
      </c>
      <c r="AQ372" s="16">
        <f t="shared" si="308"/>
        <v>0.45741004269160396</v>
      </c>
      <c r="AR372" s="16">
        <f t="shared" si="308"/>
        <v>0.16263468184590363</v>
      </c>
      <c r="AS372" s="16">
        <f>SUM(AH372:AR372)</f>
        <v>100</v>
      </c>
      <c r="AT372" s="16">
        <f>AL372+0.899*AK372</f>
        <v>12.124171579589346</v>
      </c>
      <c r="AV372" s="1" t="s">
        <v>428</v>
      </c>
      <c r="AY372" s="41"/>
      <c r="AZ372" s="41"/>
      <c r="BA372" s="41">
        <v>315</v>
      </c>
      <c r="BB372" s="41"/>
      <c r="BC372" s="41">
        <v>177</v>
      </c>
      <c r="BD372" s="41"/>
      <c r="BE372" s="41">
        <v>48</v>
      </c>
      <c r="BF372" s="41"/>
      <c r="BG372" s="41">
        <v>103</v>
      </c>
      <c r="BH372" s="41"/>
      <c r="BI372" s="41">
        <v>109</v>
      </c>
      <c r="BJ372" s="41"/>
      <c r="BK372" s="41">
        <v>109</v>
      </c>
      <c r="BL372" s="41"/>
      <c r="BM372" s="41"/>
      <c r="BN372" s="41">
        <v>12</v>
      </c>
      <c r="BO372" s="41"/>
      <c r="BP372" s="41"/>
      <c r="BQ372" s="41">
        <v>171</v>
      </c>
      <c r="BR372" s="41"/>
      <c r="BS372" s="41">
        <v>30</v>
      </c>
      <c r="BT372" s="41"/>
      <c r="BU372" s="41">
        <v>105</v>
      </c>
      <c r="BV372" s="41"/>
      <c r="BW372" s="41">
        <v>11</v>
      </c>
    </row>
    <row r="373" spans="1:98">
      <c r="A373" s="1" t="s">
        <v>289</v>
      </c>
      <c r="B373" s="4" t="s">
        <v>290</v>
      </c>
      <c r="C373" s="40" t="s">
        <v>685</v>
      </c>
      <c r="D373" s="63">
        <v>67.22</v>
      </c>
      <c r="E373" s="63">
        <v>2.93</v>
      </c>
      <c r="F373" s="1" t="s">
        <v>308</v>
      </c>
      <c r="G373" s="4"/>
      <c r="H373" s="4"/>
      <c r="J373" s="38" t="s">
        <v>256</v>
      </c>
      <c r="K373" s="40"/>
      <c r="L373" s="4" t="s">
        <v>423</v>
      </c>
      <c r="M373" s="78" t="s">
        <v>867</v>
      </c>
      <c r="N373" s="78"/>
      <c r="O373" s="4"/>
      <c r="P373" s="4"/>
      <c r="Q373" s="4"/>
      <c r="AD373" s="23"/>
      <c r="AE373" s="23"/>
      <c r="AF373" s="23"/>
      <c r="AG373" s="45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45"/>
      <c r="AV373" s="4"/>
      <c r="AY373" s="39">
        <v>33.71</v>
      </c>
      <c r="BR373" s="39">
        <v>30.8</v>
      </c>
      <c r="BS373" s="39"/>
      <c r="BT373" s="39">
        <v>100.42</v>
      </c>
      <c r="BV373" s="39">
        <v>7.07</v>
      </c>
      <c r="BW373" s="39"/>
      <c r="CA373" s="39">
        <v>37.51</v>
      </c>
      <c r="CB373" s="39">
        <v>5.93</v>
      </c>
      <c r="CC373" s="39">
        <v>16.670000000000002</v>
      </c>
      <c r="CD373" s="39">
        <v>2.44</v>
      </c>
      <c r="CE373" s="39">
        <v>12.88</v>
      </c>
      <c r="CF373" s="39">
        <v>3.97</v>
      </c>
      <c r="CG373" s="39">
        <v>1.43</v>
      </c>
      <c r="CH373" s="39">
        <v>4.84</v>
      </c>
      <c r="CI373" s="39">
        <v>0.86</v>
      </c>
      <c r="CJ373" s="39">
        <v>5.42</v>
      </c>
      <c r="CK373" s="39">
        <v>1.1100000000000001</v>
      </c>
      <c r="CL373" s="39">
        <v>3.16</v>
      </c>
      <c r="CM373" s="39">
        <v>0.48</v>
      </c>
      <c r="CN373" s="39">
        <v>2.87</v>
      </c>
      <c r="CO373" s="39">
        <v>0.43</v>
      </c>
      <c r="CP373" s="39">
        <v>2.77</v>
      </c>
      <c r="CQ373" s="39">
        <v>0.4</v>
      </c>
      <c r="CR373" s="39">
        <v>43.87</v>
      </c>
      <c r="CS373" s="39">
        <v>0.55000000000000004</v>
      </c>
      <c r="CT373" s="39">
        <v>0.15</v>
      </c>
    </row>
    <row r="374" spans="1:98">
      <c r="A374" s="1" t="s">
        <v>289</v>
      </c>
      <c r="B374" s="4" t="s">
        <v>290</v>
      </c>
      <c r="C374" s="1" t="s">
        <v>586</v>
      </c>
      <c r="D374" s="63">
        <v>67.22</v>
      </c>
      <c r="E374" s="63">
        <v>2.93</v>
      </c>
      <c r="F374" s="1" t="s">
        <v>308</v>
      </c>
      <c r="G374" s="1" t="s">
        <v>225</v>
      </c>
      <c r="H374" s="1" t="s">
        <v>141</v>
      </c>
      <c r="I374" s="9">
        <v>827</v>
      </c>
      <c r="J374" s="38" t="s">
        <v>256</v>
      </c>
      <c r="L374" s="4" t="s">
        <v>426</v>
      </c>
      <c r="M374" s="78" t="s">
        <v>866</v>
      </c>
      <c r="N374" s="78"/>
      <c r="Q374" s="1" t="s">
        <v>312</v>
      </c>
      <c r="R374" s="4">
        <v>46.5</v>
      </c>
      <c r="S374" s="1">
        <v>1.89</v>
      </c>
      <c r="T374" s="1">
        <v>13.96</v>
      </c>
      <c r="U374" s="1">
        <v>9.14</v>
      </c>
      <c r="V374" s="1">
        <v>4.83</v>
      </c>
      <c r="W374" s="1">
        <v>0.17</v>
      </c>
      <c r="X374" s="1">
        <v>8.11</v>
      </c>
      <c r="Y374" s="1">
        <v>9.58</v>
      </c>
      <c r="Z374" s="1">
        <v>2.35</v>
      </c>
      <c r="AA374" s="1">
        <v>0.31</v>
      </c>
      <c r="AB374" s="1">
        <v>0.12</v>
      </c>
      <c r="AC374" s="9">
        <v>1.91</v>
      </c>
      <c r="AD374" s="23">
        <f t="shared" ref="AD374:AD382" si="309">SUM(R374:AB374)+AC374</f>
        <v>98.87</v>
      </c>
      <c r="AE374" s="21">
        <f t="shared" ref="AE374:AE382" si="310">V374+0.899*U374</f>
        <v>13.046860000000001</v>
      </c>
      <c r="AF374" s="23">
        <f t="shared" ref="AF374:AF382" si="311">(X374/40.3)/((X374/40.3)+(AE374/71.844))</f>
        <v>0.52565146187568002</v>
      </c>
      <c r="AH374" s="16">
        <f t="shared" ref="AH374:AH382" si="312">100*R374/SUM($R374:$AB374)</f>
        <v>47.957920792079207</v>
      </c>
      <c r="AI374" s="16">
        <f t="shared" ref="AI374:AI382" si="313">100*S374/SUM($R374:$AB374)</f>
        <v>1.9492574257425741</v>
      </c>
      <c r="AJ374" s="16">
        <f t="shared" ref="AJ374:AJ382" si="314">100*T374/SUM($R374:$AB374)</f>
        <v>14.397689768976896</v>
      </c>
      <c r="AK374" s="16">
        <f t="shared" ref="AK374:AK382" si="315">100*U374/SUM($R374:$AB374)</f>
        <v>9.4265676567656751</v>
      </c>
      <c r="AL374" s="16">
        <f t="shared" ref="AL374:AL382" si="316">100*V374/SUM($R374:$AB374)</f>
        <v>4.9814356435643559</v>
      </c>
      <c r="AM374" s="16">
        <f t="shared" ref="AM374:AM382" si="317">100*W374/SUM($R374:$AB374)</f>
        <v>0.17533003300330033</v>
      </c>
      <c r="AN374" s="16">
        <f t="shared" ref="AN374:AN382" si="318">100*X374/SUM($R374:$AB374)</f>
        <v>8.3642739273927393</v>
      </c>
      <c r="AO374" s="16">
        <f t="shared" ref="AO374:AO382" si="319">100*Y374/SUM($R374:$AB374)</f>
        <v>9.8803630363036294</v>
      </c>
      <c r="AP374" s="16">
        <f t="shared" ref="AP374:AP382" si="320">100*Z374/SUM($R374:$AB374)</f>
        <v>2.4236798679867984</v>
      </c>
      <c r="AQ374" s="16">
        <f t="shared" ref="AQ374:AQ382" si="321">100*AA374/SUM($R374:$AB374)</f>
        <v>0.31971947194719469</v>
      </c>
      <c r="AR374" s="16">
        <f t="shared" ref="AR374:AR382" si="322">100*AB374/SUM($R374:$AB374)</f>
        <v>0.12376237623762375</v>
      </c>
      <c r="AS374" s="16">
        <f t="shared" ref="AS374:AS382" si="323">SUM(AH374:AR374)</f>
        <v>100</v>
      </c>
      <c r="AT374" s="16">
        <f t="shared" ref="AT374:AT382" si="324">AL374+0.899*AK374</f>
        <v>13.455919966996699</v>
      </c>
      <c r="AV374" s="1" t="s">
        <v>428</v>
      </c>
      <c r="AY374" s="41"/>
      <c r="AZ374" s="41"/>
      <c r="BA374" s="41">
        <v>341</v>
      </c>
      <c r="BB374" s="41"/>
      <c r="BC374" s="41">
        <v>215</v>
      </c>
      <c r="BD374" s="41"/>
      <c r="BE374" s="41">
        <v>46</v>
      </c>
      <c r="BF374" s="41"/>
      <c r="BG374" s="41">
        <v>90</v>
      </c>
      <c r="BH374" s="41"/>
      <c r="BI374" s="41">
        <v>213</v>
      </c>
      <c r="BJ374" s="41"/>
      <c r="BK374" s="41">
        <v>116</v>
      </c>
      <c r="BL374" s="41"/>
      <c r="BM374" s="41"/>
      <c r="BN374" s="41">
        <v>9</v>
      </c>
      <c r="BO374" s="41"/>
      <c r="BP374" s="41"/>
      <c r="BQ374" s="41">
        <v>209</v>
      </c>
      <c r="BR374" s="41"/>
      <c r="BS374" s="41">
        <v>21</v>
      </c>
      <c r="BT374" s="41"/>
      <c r="BU374" s="41">
        <v>108</v>
      </c>
      <c r="BV374" s="41"/>
      <c r="BW374" s="41">
        <v>8</v>
      </c>
    </row>
    <row r="375" spans="1:98">
      <c r="A375" s="1" t="s">
        <v>289</v>
      </c>
      <c r="B375" s="4" t="s">
        <v>290</v>
      </c>
      <c r="C375" s="1" t="s">
        <v>585</v>
      </c>
      <c r="D375" s="63">
        <v>67.22</v>
      </c>
      <c r="E375" s="63">
        <v>2.93</v>
      </c>
      <c r="F375" s="1" t="s">
        <v>308</v>
      </c>
      <c r="G375" s="1" t="s">
        <v>194</v>
      </c>
      <c r="H375" s="1" t="s">
        <v>141</v>
      </c>
      <c r="I375" s="9">
        <v>822.9</v>
      </c>
      <c r="J375" s="38" t="s">
        <v>256</v>
      </c>
      <c r="L375" s="4" t="s">
        <v>426</v>
      </c>
      <c r="M375" s="78" t="s">
        <v>866</v>
      </c>
      <c r="N375" s="78"/>
      <c r="Q375" s="1" t="s">
        <v>312</v>
      </c>
      <c r="R375" s="4">
        <v>48.5</v>
      </c>
      <c r="S375" s="1">
        <v>1.92</v>
      </c>
      <c r="T375" s="1">
        <v>14.77</v>
      </c>
      <c r="U375" s="1">
        <v>4.6100000000000003</v>
      </c>
      <c r="V375" s="1">
        <v>5.96</v>
      </c>
      <c r="W375" s="1">
        <v>0.19</v>
      </c>
      <c r="X375" s="1">
        <v>8.1199999999999992</v>
      </c>
      <c r="Y375" s="1">
        <v>10.24</v>
      </c>
      <c r="Z375" s="1">
        <v>2.64</v>
      </c>
      <c r="AA375" s="1">
        <v>0.19</v>
      </c>
      <c r="AB375" s="1">
        <v>0.18</v>
      </c>
      <c r="AC375" s="9">
        <v>2.64</v>
      </c>
      <c r="AD375" s="23">
        <f t="shared" si="309"/>
        <v>99.96</v>
      </c>
      <c r="AE375" s="21">
        <f t="shared" si="310"/>
        <v>10.10439</v>
      </c>
      <c r="AF375" s="23">
        <f t="shared" si="311"/>
        <v>0.58892079789880958</v>
      </c>
      <c r="AH375" s="16">
        <f t="shared" si="312"/>
        <v>49.835593916974929</v>
      </c>
      <c r="AI375" s="16">
        <f t="shared" si="313"/>
        <v>1.9728729963008633</v>
      </c>
      <c r="AJ375" s="16">
        <f t="shared" si="314"/>
        <v>15.176736539251953</v>
      </c>
      <c r="AK375" s="16">
        <f t="shared" si="315"/>
        <v>4.7369502671598855</v>
      </c>
      <c r="AL375" s="16">
        <f t="shared" si="316"/>
        <v>6.1241265926839299</v>
      </c>
      <c r="AM375" s="16">
        <f t="shared" si="317"/>
        <v>0.19523222359227294</v>
      </c>
      <c r="AN375" s="16">
        <f t="shared" si="318"/>
        <v>8.3436087135224</v>
      </c>
      <c r="AO375" s="16">
        <f t="shared" si="319"/>
        <v>10.521989313604605</v>
      </c>
      <c r="AP375" s="16">
        <f t="shared" si="320"/>
        <v>2.7127003699136871</v>
      </c>
      <c r="AQ375" s="16">
        <f t="shared" si="321"/>
        <v>0.19523222359227294</v>
      </c>
      <c r="AR375" s="16">
        <f t="shared" si="322"/>
        <v>0.18495684340320592</v>
      </c>
      <c r="AS375" s="16">
        <f t="shared" si="323"/>
        <v>100</v>
      </c>
      <c r="AT375" s="16">
        <f t="shared" si="324"/>
        <v>10.382644882860667</v>
      </c>
      <c r="AV375" s="1" t="s">
        <v>428</v>
      </c>
      <c r="AY375" s="41"/>
      <c r="AZ375" s="41"/>
      <c r="BA375" s="41">
        <v>370</v>
      </c>
      <c r="BB375" s="41"/>
      <c r="BC375" s="41">
        <v>204</v>
      </c>
      <c r="BD375" s="41"/>
      <c r="BE375" s="41">
        <v>42</v>
      </c>
      <c r="BF375" s="41"/>
      <c r="BG375" s="41">
        <v>100</v>
      </c>
      <c r="BH375" s="41"/>
      <c r="BI375" s="41">
        <v>106</v>
      </c>
      <c r="BJ375" s="41"/>
      <c r="BK375" s="41">
        <v>99</v>
      </c>
      <c r="BL375" s="41"/>
      <c r="BM375" s="41"/>
      <c r="BN375" s="41">
        <v>6</v>
      </c>
      <c r="BO375" s="41"/>
      <c r="BP375" s="41"/>
      <c r="BQ375" s="41">
        <v>186</v>
      </c>
      <c r="BR375" s="41"/>
      <c r="BS375" s="41">
        <v>27</v>
      </c>
      <c r="BT375" s="41"/>
      <c r="BU375" s="41">
        <v>111</v>
      </c>
      <c r="BV375" s="41"/>
      <c r="BW375" s="41">
        <v>5</v>
      </c>
      <c r="CB375" s="9">
        <v>6.6</v>
      </c>
      <c r="CC375" s="9">
        <v>18.100000000000001</v>
      </c>
      <c r="CE375" s="9">
        <v>14.1</v>
      </c>
      <c r="CF375" s="9">
        <v>4.13</v>
      </c>
      <c r="CG375" s="9">
        <v>1.53</v>
      </c>
      <c r="CI375" s="9">
        <v>0.86</v>
      </c>
      <c r="CN375" s="9">
        <v>2.31</v>
      </c>
      <c r="CO375" s="9">
        <v>0.32</v>
      </c>
      <c r="CP375" s="9">
        <v>2.96</v>
      </c>
      <c r="CQ375" s="9">
        <v>0.44</v>
      </c>
      <c r="CS375" s="9">
        <v>0.65</v>
      </c>
    </row>
    <row r="376" spans="1:98">
      <c r="A376" s="1" t="s">
        <v>289</v>
      </c>
      <c r="B376" s="4" t="s">
        <v>290</v>
      </c>
      <c r="C376" s="1" t="s">
        <v>587</v>
      </c>
      <c r="D376" s="63">
        <v>67.22</v>
      </c>
      <c r="E376" s="63">
        <v>2.93</v>
      </c>
      <c r="F376" s="1" t="s">
        <v>308</v>
      </c>
      <c r="G376" s="1" t="s">
        <v>189</v>
      </c>
      <c r="H376" s="1" t="s">
        <v>141</v>
      </c>
      <c r="I376" s="9">
        <v>839.8</v>
      </c>
      <c r="J376" s="38" t="s">
        <v>256</v>
      </c>
      <c r="L376" s="4" t="s">
        <v>426</v>
      </c>
      <c r="M376" s="78" t="s">
        <v>866</v>
      </c>
      <c r="N376" s="78"/>
      <c r="Q376" s="1" t="s">
        <v>312</v>
      </c>
      <c r="R376" s="4">
        <v>48.8</v>
      </c>
      <c r="S376" s="1">
        <v>2</v>
      </c>
      <c r="T376" s="1">
        <v>14.71</v>
      </c>
      <c r="U376" s="1">
        <v>5.33</v>
      </c>
      <c r="V376" s="1">
        <v>6.19</v>
      </c>
      <c r="W376" s="1">
        <v>0.23</v>
      </c>
      <c r="X376" s="1">
        <v>7.54</v>
      </c>
      <c r="Y376" s="1">
        <v>11.24</v>
      </c>
      <c r="Z376" s="1">
        <v>2.4700000000000002</v>
      </c>
      <c r="AA376" s="1">
        <v>0.18</v>
      </c>
      <c r="AB376" s="1">
        <v>0.18</v>
      </c>
      <c r="AC376" s="9">
        <v>1.42</v>
      </c>
      <c r="AD376" s="23">
        <f t="shared" si="309"/>
        <v>100.29</v>
      </c>
      <c r="AE376" s="21">
        <f t="shared" si="310"/>
        <v>10.981670000000001</v>
      </c>
      <c r="AF376" s="23">
        <f t="shared" si="311"/>
        <v>0.5503636992352815</v>
      </c>
      <c r="AH376" s="16">
        <f t="shared" si="312"/>
        <v>49.357742490138563</v>
      </c>
      <c r="AI376" s="16">
        <f t="shared" si="313"/>
        <v>2.0228582987761707</v>
      </c>
      <c r="AJ376" s="16">
        <f t="shared" si="314"/>
        <v>14.878122787498736</v>
      </c>
      <c r="AK376" s="16">
        <f t="shared" si="315"/>
        <v>5.3909173662384946</v>
      </c>
      <c r="AL376" s="16">
        <f t="shared" si="316"/>
        <v>6.2607464347122477</v>
      </c>
      <c r="AM376" s="16">
        <f t="shared" si="317"/>
        <v>0.23262870435925961</v>
      </c>
      <c r="AN376" s="16">
        <f t="shared" si="318"/>
        <v>7.6261757863861632</v>
      </c>
      <c r="AO376" s="16">
        <f t="shared" si="319"/>
        <v>11.368463639122078</v>
      </c>
      <c r="AP376" s="16">
        <f t="shared" si="320"/>
        <v>2.4982299989885712</v>
      </c>
      <c r="AQ376" s="16">
        <f t="shared" si="321"/>
        <v>0.18205724688985536</v>
      </c>
      <c r="AR376" s="16">
        <f t="shared" si="322"/>
        <v>0.18205724688985536</v>
      </c>
      <c r="AS376" s="16">
        <f t="shared" si="323"/>
        <v>100</v>
      </c>
      <c r="AT376" s="16">
        <f t="shared" si="324"/>
        <v>11.107181146960654</v>
      </c>
      <c r="AV376" s="1" t="s">
        <v>428</v>
      </c>
      <c r="AY376" s="41">
        <v>45.3</v>
      </c>
      <c r="AZ376" s="41"/>
      <c r="BA376" s="41">
        <v>371</v>
      </c>
      <c r="BB376" s="41"/>
      <c r="BC376" s="41">
        <v>233</v>
      </c>
      <c r="BD376" s="41"/>
      <c r="BE376" s="41">
        <v>47.9</v>
      </c>
      <c r="BF376" s="41"/>
      <c r="BG376" s="41">
        <v>79</v>
      </c>
      <c r="BH376" s="41"/>
      <c r="BI376" s="41">
        <v>117</v>
      </c>
      <c r="BJ376" s="41"/>
      <c r="BK376" s="41">
        <v>112</v>
      </c>
      <c r="BL376" s="41"/>
      <c r="BM376" s="41"/>
      <c r="BN376" s="41">
        <v>4</v>
      </c>
      <c r="BO376" s="41"/>
      <c r="BP376" s="41"/>
      <c r="BQ376" s="41">
        <v>239</v>
      </c>
      <c r="BR376" s="41"/>
      <c r="BS376" s="41">
        <v>27</v>
      </c>
      <c r="BT376" s="41"/>
      <c r="BU376" s="41">
        <v>107</v>
      </c>
      <c r="BV376" s="41"/>
      <c r="BW376" s="41">
        <v>6</v>
      </c>
    </row>
    <row r="377" spans="1:98">
      <c r="A377" s="1" t="s">
        <v>289</v>
      </c>
      <c r="B377" s="4" t="s">
        <v>290</v>
      </c>
      <c r="C377" s="1" t="s">
        <v>588</v>
      </c>
      <c r="D377" s="63">
        <v>67.22</v>
      </c>
      <c r="E377" s="63">
        <v>2.93</v>
      </c>
      <c r="F377" s="1" t="s">
        <v>308</v>
      </c>
      <c r="G377" s="1" t="s">
        <v>228</v>
      </c>
      <c r="H377" s="1" t="s">
        <v>141</v>
      </c>
      <c r="I377" s="9">
        <v>841.4</v>
      </c>
      <c r="J377" s="38" t="s">
        <v>256</v>
      </c>
      <c r="L377" s="4" t="s">
        <v>426</v>
      </c>
      <c r="M377" s="78" t="s">
        <v>866</v>
      </c>
      <c r="N377" s="78"/>
      <c r="Q377" s="1" t="s">
        <v>312</v>
      </c>
      <c r="R377" s="4">
        <v>48.6</v>
      </c>
      <c r="S377" s="1">
        <v>2.11</v>
      </c>
      <c r="T377" s="1">
        <v>14.33</v>
      </c>
      <c r="U377" s="1">
        <v>9.1199999999999992</v>
      </c>
      <c r="V377" s="1">
        <v>4.03</v>
      </c>
      <c r="W377" s="1">
        <v>0.12</v>
      </c>
      <c r="X377" s="1">
        <v>7.16</v>
      </c>
      <c r="Y377" s="1">
        <v>7.32</v>
      </c>
      <c r="Z377" s="1">
        <v>2.94</v>
      </c>
      <c r="AA377" s="1">
        <v>0.54</v>
      </c>
      <c r="AB377" s="1">
        <v>0.19</v>
      </c>
      <c r="AC377" s="9">
        <v>3.64</v>
      </c>
      <c r="AD377" s="23">
        <f t="shared" si="309"/>
        <v>100.10000000000002</v>
      </c>
      <c r="AE377" s="21">
        <f t="shared" si="310"/>
        <v>12.22888</v>
      </c>
      <c r="AF377" s="23">
        <f t="shared" si="311"/>
        <v>0.51071217216016696</v>
      </c>
      <c r="AH377" s="16">
        <f t="shared" si="312"/>
        <v>50.383578685465466</v>
      </c>
      <c r="AI377" s="16">
        <f t="shared" si="313"/>
        <v>2.1874352063031304</v>
      </c>
      <c r="AJ377" s="16">
        <f t="shared" si="314"/>
        <v>14.855898818162967</v>
      </c>
      <c r="AK377" s="16">
        <f t="shared" si="315"/>
        <v>9.4546962471490748</v>
      </c>
      <c r="AL377" s="16">
        <f t="shared" si="316"/>
        <v>4.1778975741239881</v>
      </c>
      <c r="AM377" s="16">
        <f t="shared" si="317"/>
        <v>0.12440389798880362</v>
      </c>
      <c r="AN377" s="16">
        <f t="shared" si="318"/>
        <v>7.4227659133319497</v>
      </c>
      <c r="AO377" s="16">
        <f t="shared" si="319"/>
        <v>7.5886377773170208</v>
      </c>
      <c r="AP377" s="16">
        <f t="shared" si="320"/>
        <v>3.0478955007256885</v>
      </c>
      <c r="AQ377" s="16">
        <f t="shared" si="321"/>
        <v>0.55981754094961633</v>
      </c>
      <c r="AR377" s="16">
        <f t="shared" si="322"/>
        <v>0.1969728384822724</v>
      </c>
      <c r="AS377" s="16">
        <f t="shared" si="323"/>
        <v>99.999999999999943</v>
      </c>
      <c r="AT377" s="16">
        <f t="shared" si="324"/>
        <v>12.677669500311005</v>
      </c>
      <c r="AV377" s="1" t="s">
        <v>428</v>
      </c>
      <c r="AY377" s="41"/>
      <c r="AZ377" s="41"/>
      <c r="BA377" s="41">
        <v>346</v>
      </c>
      <c r="BB377" s="41"/>
      <c r="BC377" s="41">
        <v>106</v>
      </c>
      <c r="BD377" s="41"/>
      <c r="BE377" s="41">
        <v>43</v>
      </c>
      <c r="BF377" s="41"/>
      <c r="BG377" s="41">
        <v>77</v>
      </c>
      <c r="BH377" s="41"/>
      <c r="BI377" s="41">
        <v>230</v>
      </c>
      <c r="BJ377" s="41"/>
      <c r="BK377" s="41">
        <v>200</v>
      </c>
      <c r="BL377" s="41"/>
      <c r="BM377" s="41"/>
      <c r="BN377" s="41">
        <v>14</v>
      </c>
      <c r="BO377" s="41"/>
      <c r="BP377" s="41"/>
      <c r="BQ377" s="41">
        <v>189</v>
      </c>
      <c r="BR377" s="41"/>
      <c r="BS377" s="41">
        <v>35</v>
      </c>
      <c r="BT377" s="41"/>
      <c r="BU377" s="41">
        <v>123</v>
      </c>
      <c r="BV377" s="41"/>
      <c r="BW377" s="41">
        <v>5</v>
      </c>
    </row>
    <row r="378" spans="1:98">
      <c r="A378" s="1" t="s">
        <v>289</v>
      </c>
      <c r="B378" s="4" t="s">
        <v>290</v>
      </c>
      <c r="C378" s="1" t="s">
        <v>589</v>
      </c>
      <c r="D378" s="63">
        <v>67.22</v>
      </c>
      <c r="E378" s="63">
        <v>2.93</v>
      </c>
      <c r="F378" s="1" t="s">
        <v>308</v>
      </c>
      <c r="G378" s="1" t="s">
        <v>193</v>
      </c>
      <c r="H378" s="1" t="s">
        <v>141</v>
      </c>
      <c r="I378" s="9">
        <v>845.5</v>
      </c>
      <c r="J378" s="38" t="s">
        <v>256</v>
      </c>
      <c r="L378" s="4" t="s">
        <v>426</v>
      </c>
      <c r="M378" s="78" t="s">
        <v>866</v>
      </c>
      <c r="N378" s="78"/>
      <c r="Q378" s="1" t="s">
        <v>312</v>
      </c>
      <c r="R378" s="4">
        <v>48.4</v>
      </c>
      <c r="S378" s="1">
        <v>2.1</v>
      </c>
      <c r="T378" s="1">
        <v>13.92</v>
      </c>
      <c r="U378" s="1">
        <v>6.47</v>
      </c>
      <c r="V378" s="1">
        <v>6.4</v>
      </c>
      <c r="W378" s="1">
        <v>0.22</v>
      </c>
      <c r="X378" s="1">
        <v>8.06</v>
      </c>
      <c r="Y378" s="1">
        <v>9.5299999999999994</v>
      </c>
      <c r="Z378" s="1">
        <v>2.7</v>
      </c>
      <c r="AA378" s="1">
        <v>0.2</v>
      </c>
      <c r="AB378" s="1">
        <v>0.2</v>
      </c>
      <c r="AC378" s="9">
        <v>2.2400000000000002</v>
      </c>
      <c r="AD378" s="23">
        <f t="shared" si="309"/>
        <v>100.44000000000001</v>
      </c>
      <c r="AE378" s="21">
        <f t="shared" si="310"/>
        <v>12.216530000000001</v>
      </c>
      <c r="AF378" s="23">
        <f t="shared" si="311"/>
        <v>0.54047852706737143</v>
      </c>
      <c r="AH378" s="16">
        <f t="shared" si="312"/>
        <v>49.287169042769847</v>
      </c>
      <c r="AI378" s="16">
        <f t="shared" si="313"/>
        <v>2.1384928716904272</v>
      </c>
      <c r="AJ378" s="16">
        <f t="shared" si="314"/>
        <v>14.175152749490833</v>
      </c>
      <c r="AK378" s="16">
        <f t="shared" si="315"/>
        <v>6.5885947046843167</v>
      </c>
      <c r="AL378" s="16">
        <f t="shared" si="316"/>
        <v>6.5173116089613021</v>
      </c>
      <c r="AM378" s="16">
        <f t="shared" si="317"/>
        <v>0.22403258655804476</v>
      </c>
      <c r="AN378" s="16">
        <f t="shared" si="318"/>
        <v>8.2077393075356397</v>
      </c>
      <c r="AO378" s="16">
        <f t="shared" si="319"/>
        <v>9.7046843177189377</v>
      </c>
      <c r="AP378" s="16">
        <f t="shared" si="320"/>
        <v>2.7494908350305494</v>
      </c>
      <c r="AQ378" s="16">
        <f t="shared" si="321"/>
        <v>0.20366598778004069</v>
      </c>
      <c r="AR378" s="16">
        <f t="shared" si="322"/>
        <v>0.20366598778004069</v>
      </c>
      <c r="AS378" s="16">
        <f t="shared" si="323"/>
        <v>99.999999999999972</v>
      </c>
      <c r="AT378" s="16">
        <f t="shared" si="324"/>
        <v>12.440458248472503</v>
      </c>
      <c r="AV378" s="1" t="s">
        <v>428</v>
      </c>
      <c r="AY378" s="41"/>
      <c r="AZ378" s="41"/>
      <c r="BA378" s="41">
        <v>360</v>
      </c>
      <c r="BB378" s="41"/>
      <c r="BC378" s="41">
        <v>107</v>
      </c>
      <c r="BD378" s="41"/>
      <c r="BE378" s="41">
        <v>45</v>
      </c>
      <c r="BF378" s="41"/>
      <c r="BG378" s="41">
        <v>77</v>
      </c>
      <c r="BH378" s="41"/>
      <c r="BI378" s="41">
        <v>203</v>
      </c>
      <c r="BJ378" s="41"/>
      <c r="BK378" s="41">
        <v>118</v>
      </c>
      <c r="BL378" s="41"/>
      <c r="BM378" s="41"/>
      <c r="BN378" s="41">
        <v>6</v>
      </c>
      <c r="BO378" s="41"/>
      <c r="BP378" s="41"/>
      <c r="BQ378" s="41">
        <v>211</v>
      </c>
      <c r="BR378" s="41"/>
      <c r="BS378" s="41">
        <v>30</v>
      </c>
      <c r="BT378" s="41"/>
      <c r="BU378" s="41">
        <v>122</v>
      </c>
      <c r="BV378" s="41"/>
      <c r="BW378" s="41">
        <v>6</v>
      </c>
    </row>
    <row r="379" spans="1:98">
      <c r="A379" s="1" t="s">
        <v>289</v>
      </c>
      <c r="B379" s="4" t="s">
        <v>290</v>
      </c>
      <c r="C379" s="1" t="s">
        <v>590</v>
      </c>
      <c r="D379" s="63">
        <v>67.22</v>
      </c>
      <c r="E379" s="63">
        <v>2.93</v>
      </c>
      <c r="F379" s="1" t="s">
        <v>308</v>
      </c>
      <c r="G379" s="1" t="s">
        <v>214</v>
      </c>
      <c r="H379" s="1" t="s">
        <v>141</v>
      </c>
      <c r="I379" s="9">
        <v>848.6</v>
      </c>
      <c r="J379" s="38" t="s">
        <v>256</v>
      </c>
      <c r="L379" s="4" t="s">
        <v>426</v>
      </c>
      <c r="M379" s="78" t="s">
        <v>866</v>
      </c>
      <c r="N379" s="78"/>
      <c r="Q379" s="1" t="s">
        <v>312</v>
      </c>
      <c r="R379" s="4">
        <v>48.8</v>
      </c>
      <c r="S379" s="1">
        <v>1.79</v>
      </c>
      <c r="T379" s="1">
        <v>14.39</v>
      </c>
      <c r="U379" s="1">
        <v>5.81</v>
      </c>
      <c r="V379" s="1">
        <v>5.68</v>
      </c>
      <c r="W379" s="1">
        <v>0.24</v>
      </c>
      <c r="X379" s="1">
        <v>7.97</v>
      </c>
      <c r="Y379" s="1">
        <v>10.039999999999999</v>
      </c>
      <c r="Z379" s="1">
        <v>2.5</v>
      </c>
      <c r="AA379" s="1">
        <v>0.26</v>
      </c>
      <c r="AB379" s="1">
        <v>0.17</v>
      </c>
      <c r="AC379" s="9">
        <v>1.79</v>
      </c>
      <c r="AD379" s="23">
        <f t="shared" si="309"/>
        <v>99.440000000000012</v>
      </c>
      <c r="AE379" s="21">
        <f t="shared" si="310"/>
        <v>10.903189999999999</v>
      </c>
      <c r="AF379" s="23">
        <f t="shared" si="311"/>
        <v>0.56580965904289127</v>
      </c>
      <c r="AH379" s="16">
        <f t="shared" si="312"/>
        <v>49.974398361495133</v>
      </c>
      <c r="AI379" s="16">
        <f t="shared" si="313"/>
        <v>1.8330773169482846</v>
      </c>
      <c r="AJ379" s="16">
        <f t="shared" si="314"/>
        <v>14.736303123399896</v>
      </c>
      <c r="AK379" s="16">
        <f t="shared" si="315"/>
        <v>5.9498207885304657</v>
      </c>
      <c r="AL379" s="16">
        <f t="shared" si="316"/>
        <v>5.8166922683051716</v>
      </c>
      <c r="AM379" s="16">
        <f t="shared" si="317"/>
        <v>0.24577572964669736</v>
      </c>
      <c r="AN379" s="16">
        <f t="shared" si="318"/>
        <v>8.1618023553507424</v>
      </c>
      <c r="AO379" s="16">
        <f t="shared" si="319"/>
        <v>10.281618023553506</v>
      </c>
      <c r="AP379" s="16">
        <f t="shared" si="320"/>
        <v>2.5601638504864308</v>
      </c>
      <c r="AQ379" s="16">
        <f t="shared" si="321"/>
        <v>0.26625704045058884</v>
      </c>
      <c r="AR379" s="16">
        <f t="shared" si="322"/>
        <v>0.17409114183307731</v>
      </c>
      <c r="AS379" s="16">
        <f t="shared" si="323"/>
        <v>99.999999999999986</v>
      </c>
      <c r="AT379" s="16">
        <f t="shared" si="324"/>
        <v>11.16558115719406</v>
      </c>
      <c r="AV379" s="1" t="s">
        <v>428</v>
      </c>
      <c r="AY379" s="41"/>
      <c r="AZ379" s="41"/>
      <c r="BA379" s="41">
        <v>359</v>
      </c>
      <c r="BB379" s="41"/>
      <c r="BC379" s="41">
        <v>177</v>
      </c>
      <c r="BD379" s="41"/>
      <c r="BE379" s="41">
        <v>46</v>
      </c>
      <c r="BF379" s="41"/>
      <c r="BG379" s="41">
        <v>90</v>
      </c>
      <c r="BH379" s="41"/>
      <c r="BI379" s="41">
        <v>159</v>
      </c>
      <c r="BJ379" s="41"/>
      <c r="BK379" s="41">
        <v>102</v>
      </c>
      <c r="BL379" s="41"/>
      <c r="BM379" s="41"/>
      <c r="BN379" s="41">
        <v>9</v>
      </c>
      <c r="BO379" s="41"/>
      <c r="BP379" s="41"/>
      <c r="BQ379" s="41">
        <v>204</v>
      </c>
      <c r="BR379" s="41"/>
      <c r="BS379" s="41">
        <v>27</v>
      </c>
      <c r="BT379" s="41"/>
      <c r="BU379" s="41">
        <v>105</v>
      </c>
      <c r="BV379" s="41"/>
      <c r="BW379" s="41">
        <v>6</v>
      </c>
    </row>
    <row r="380" spans="1:98">
      <c r="A380" s="1" t="s">
        <v>289</v>
      </c>
      <c r="B380" s="4" t="s">
        <v>290</v>
      </c>
      <c r="C380" s="1" t="s">
        <v>591</v>
      </c>
      <c r="D380" s="63">
        <v>67.22</v>
      </c>
      <c r="E380" s="63">
        <v>2.93</v>
      </c>
      <c r="F380" s="1" t="s">
        <v>308</v>
      </c>
      <c r="G380" s="1" t="s">
        <v>155</v>
      </c>
      <c r="H380" s="1" t="s">
        <v>141</v>
      </c>
      <c r="I380" s="9">
        <v>856.2</v>
      </c>
      <c r="J380" s="38" t="s">
        <v>256</v>
      </c>
      <c r="L380" s="4" t="s">
        <v>426</v>
      </c>
      <c r="M380" s="78" t="s">
        <v>866</v>
      </c>
      <c r="N380" s="78"/>
      <c r="Q380" s="1" t="s">
        <v>312</v>
      </c>
      <c r="R380" s="4">
        <v>48.7</v>
      </c>
      <c r="S380" s="1">
        <v>1.83</v>
      </c>
      <c r="T380" s="1">
        <v>13.84</v>
      </c>
      <c r="U380" s="1">
        <v>6.54</v>
      </c>
      <c r="V380" s="1">
        <v>5.64</v>
      </c>
      <c r="W380" s="1">
        <v>0.18</v>
      </c>
      <c r="X380" s="1">
        <v>8.06</v>
      </c>
      <c r="Y380" s="1">
        <v>10.65</v>
      </c>
      <c r="Z380" s="1">
        <v>2.44</v>
      </c>
      <c r="AA380" s="1">
        <v>0.1</v>
      </c>
      <c r="AB380" s="1">
        <v>0.17</v>
      </c>
      <c r="AC380" s="9">
        <v>2.14</v>
      </c>
      <c r="AD380" s="23">
        <f t="shared" si="309"/>
        <v>100.29000000000002</v>
      </c>
      <c r="AE380" s="21">
        <f t="shared" si="310"/>
        <v>11.519459999999999</v>
      </c>
      <c r="AF380" s="23">
        <f t="shared" si="311"/>
        <v>0.55503150849072136</v>
      </c>
      <c r="AH380" s="16">
        <f t="shared" si="312"/>
        <v>49.617931737137027</v>
      </c>
      <c r="AI380" s="16">
        <f t="shared" si="313"/>
        <v>1.864493122771268</v>
      </c>
      <c r="AJ380" s="16">
        <f t="shared" si="314"/>
        <v>14.10086602139582</v>
      </c>
      <c r="AK380" s="16">
        <f t="shared" si="315"/>
        <v>6.6632705043301055</v>
      </c>
      <c r="AL380" s="16">
        <f t="shared" si="316"/>
        <v>5.7463066734589905</v>
      </c>
      <c r="AM380" s="16">
        <f t="shared" si="317"/>
        <v>0.18339276617422309</v>
      </c>
      <c r="AN380" s="16">
        <f t="shared" si="318"/>
        <v>8.211920529801322</v>
      </c>
      <c r="AO380" s="16">
        <f t="shared" si="319"/>
        <v>10.850738665308199</v>
      </c>
      <c r="AP380" s="16">
        <f t="shared" si="320"/>
        <v>2.4859908303616907</v>
      </c>
      <c r="AQ380" s="16">
        <f t="shared" si="321"/>
        <v>0.10188487009679061</v>
      </c>
      <c r="AR380" s="16">
        <f t="shared" si="322"/>
        <v>0.17320427916454403</v>
      </c>
      <c r="AS380" s="16">
        <f t="shared" si="323"/>
        <v>99.999999999999957</v>
      </c>
      <c r="AT380" s="16">
        <f t="shared" si="324"/>
        <v>11.736586856851755</v>
      </c>
      <c r="AV380" s="1" t="s">
        <v>428</v>
      </c>
      <c r="AY380" s="41"/>
      <c r="AZ380" s="41"/>
      <c r="BA380" s="41">
        <v>367</v>
      </c>
      <c r="BB380" s="41"/>
      <c r="BC380" s="41">
        <v>291</v>
      </c>
      <c r="BD380" s="41"/>
      <c r="BE380" s="41">
        <v>45</v>
      </c>
      <c r="BF380" s="41"/>
      <c r="BG380" s="41">
        <v>83</v>
      </c>
      <c r="BH380" s="41"/>
      <c r="BI380" s="41">
        <v>117</v>
      </c>
      <c r="BJ380" s="41"/>
      <c r="BK380" s="41">
        <v>110</v>
      </c>
      <c r="BL380" s="41"/>
      <c r="BM380" s="41"/>
      <c r="BN380" s="41">
        <v>7</v>
      </c>
      <c r="BO380" s="41"/>
      <c r="BP380" s="41"/>
      <c r="BQ380" s="41">
        <v>159</v>
      </c>
      <c r="BR380" s="41"/>
      <c r="BS380" s="41">
        <v>37</v>
      </c>
      <c r="BT380" s="41"/>
      <c r="BU380" s="41">
        <v>105</v>
      </c>
      <c r="BV380" s="41"/>
      <c r="BW380" s="41">
        <v>7</v>
      </c>
    </row>
    <row r="381" spans="1:98">
      <c r="A381" s="1" t="s">
        <v>289</v>
      </c>
      <c r="B381" s="4" t="s">
        <v>290</v>
      </c>
      <c r="C381" s="1" t="s">
        <v>592</v>
      </c>
      <c r="D381" s="63">
        <v>67.22</v>
      </c>
      <c r="E381" s="63">
        <v>2.93</v>
      </c>
      <c r="F381" s="1" t="s">
        <v>308</v>
      </c>
      <c r="G381" s="1" t="s">
        <v>166</v>
      </c>
      <c r="H381" s="1" t="s">
        <v>141</v>
      </c>
      <c r="I381" s="9">
        <v>870.1</v>
      </c>
      <c r="J381" s="38" t="s">
        <v>256</v>
      </c>
      <c r="L381" s="4" t="s">
        <v>426</v>
      </c>
      <c r="M381" s="78" t="s">
        <v>866</v>
      </c>
      <c r="N381" s="78"/>
      <c r="Q381" s="1" t="s">
        <v>312</v>
      </c>
      <c r="R381" s="4">
        <v>48.7</v>
      </c>
      <c r="S381" s="1">
        <v>1.57</v>
      </c>
      <c r="T381" s="1">
        <v>15.33</v>
      </c>
      <c r="U381" s="1">
        <v>5.35</v>
      </c>
      <c r="V381" s="1">
        <v>6</v>
      </c>
      <c r="W381" s="1">
        <v>0.16</v>
      </c>
      <c r="X381" s="1">
        <v>7.79</v>
      </c>
      <c r="Y381" s="1">
        <v>10.97</v>
      </c>
      <c r="Z381" s="1">
        <v>2.16</v>
      </c>
      <c r="AA381" s="1">
        <v>0.1</v>
      </c>
      <c r="AB381" s="1">
        <v>0.14000000000000001</v>
      </c>
      <c r="AC381" s="9">
        <v>1.7</v>
      </c>
      <c r="AD381" s="23">
        <f t="shared" si="309"/>
        <v>99.97</v>
      </c>
      <c r="AE381" s="21">
        <f t="shared" si="310"/>
        <v>10.80965</v>
      </c>
      <c r="AF381" s="23">
        <f t="shared" si="311"/>
        <v>0.56231119045966393</v>
      </c>
      <c r="AH381" s="16">
        <f t="shared" si="312"/>
        <v>49.557342016892235</v>
      </c>
      <c r="AI381" s="16">
        <f t="shared" si="313"/>
        <v>1.5976391574234252</v>
      </c>
      <c r="AJ381" s="16">
        <f t="shared" si="314"/>
        <v>15.599877887452937</v>
      </c>
      <c r="AK381" s="16">
        <f t="shared" si="315"/>
        <v>5.4441843899460673</v>
      </c>
      <c r="AL381" s="16">
        <f t="shared" si="316"/>
        <v>6.1056273532105427</v>
      </c>
      <c r="AM381" s="16">
        <f t="shared" si="317"/>
        <v>0.16281672941894781</v>
      </c>
      <c r="AN381" s="16">
        <f t="shared" si="318"/>
        <v>7.9271395135850211</v>
      </c>
      <c r="AO381" s="16">
        <f t="shared" si="319"/>
        <v>11.163122010786608</v>
      </c>
      <c r="AP381" s="16">
        <f t="shared" si="320"/>
        <v>2.1980258471557952</v>
      </c>
      <c r="AQ381" s="16">
        <f t="shared" si="321"/>
        <v>0.10176045588684238</v>
      </c>
      <c r="AR381" s="16">
        <f t="shared" si="322"/>
        <v>0.14246463824157934</v>
      </c>
      <c r="AS381" s="16">
        <f t="shared" si="323"/>
        <v>100</v>
      </c>
      <c r="AT381" s="16">
        <f t="shared" si="324"/>
        <v>10.999949119772058</v>
      </c>
      <c r="AV381" s="1" t="s">
        <v>428</v>
      </c>
      <c r="AY381" s="41">
        <v>38.9</v>
      </c>
      <c r="AZ381" s="41"/>
      <c r="BA381" s="41">
        <v>318</v>
      </c>
      <c r="BB381" s="41"/>
      <c r="BC381" s="41">
        <v>280</v>
      </c>
      <c r="BD381" s="41"/>
      <c r="BE381" s="41">
        <v>48.9</v>
      </c>
      <c r="BF381" s="41"/>
      <c r="BG381" s="41">
        <v>103</v>
      </c>
      <c r="BH381" s="41"/>
      <c r="BI381" s="41">
        <v>77</v>
      </c>
      <c r="BJ381" s="41"/>
      <c r="BK381" s="41">
        <v>87</v>
      </c>
      <c r="BL381" s="41"/>
      <c r="BM381" s="41"/>
      <c r="BN381" s="41">
        <v>4</v>
      </c>
      <c r="BO381" s="41"/>
      <c r="BP381" s="41"/>
      <c r="BQ381" s="41">
        <v>190</v>
      </c>
      <c r="BR381" s="41"/>
      <c r="BS381" s="41">
        <v>26</v>
      </c>
      <c r="BT381" s="41"/>
      <c r="BU381" s="41">
        <v>91</v>
      </c>
      <c r="BV381" s="41"/>
      <c r="BW381" s="41">
        <v>6</v>
      </c>
    </row>
    <row r="382" spans="1:98">
      <c r="A382" s="1" t="s">
        <v>289</v>
      </c>
      <c r="B382" s="4" t="s">
        <v>290</v>
      </c>
      <c r="C382" s="1" t="s">
        <v>593</v>
      </c>
      <c r="D382" s="63">
        <v>67.22</v>
      </c>
      <c r="E382" s="63">
        <v>2.93</v>
      </c>
      <c r="F382" s="1" t="s">
        <v>308</v>
      </c>
      <c r="G382" s="1" t="s">
        <v>144</v>
      </c>
      <c r="H382" s="1" t="s">
        <v>141</v>
      </c>
      <c r="I382" s="9">
        <v>871</v>
      </c>
      <c r="J382" s="38" t="s">
        <v>256</v>
      </c>
      <c r="L382" s="4" t="s">
        <v>426</v>
      </c>
      <c r="M382" s="78" t="s">
        <v>866</v>
      </c>
      <c r="N382" s="78"/>
      <c r="Q382" s="1" t="s">
        <v>312</v>
      </c>
      <c r="R382" s="4">
        <v>48.9</v>
      </c>
      <c r="S382" s="1">
        <v>2</v>
      </c>
      <c r="T382" s="1">
        <v>13.66</v>
      </c>
      <c r="U382" s="1">
        <v>5.12</v>
      </c>
      <c r="V382" s="1">
        <v>7.67</v>
      </c>
      <c r="W382" s="1">
        <v>0.22</v>
      </c>
      <c r="X382" s="1">
        <v>7.26</v>
      </c>
      <c r="Y382" s="1">
        <v>11.08</v>
      </c>
      <c r="Z382" s="1">
        <v>2.33</v>
      </c>
      <c r="AA382" s="1">
        <v>0.1</v>
      </c>
      <c r="AB382" s="1">
        <v>0.19</v>
      </c>
      <c r="AC382" s="9">
        <v>1.19</v>
      </c>
      <c r="AD382" s="23">
        <f t="shared" si="309"/>
        <v>99.72</v>
      </c>
      <c r="AE382" s="21">
        <f t="shared" si="310"/>
        <v>12.272880000000001</v>
      </c>
      <c r="AF382" s="23">
        <f t="shared" si="311"/>
        <v>0.51328025368117591</v>
      </c>
      <c r="AH382" s="16">
        <f t="shared" si="312"/>
        <v>49.629554450421189</v>
      </c>
      <c r="AI382" s="16">
        <f t="shared" si="313"/>
        <v>2.0298386278290876</v>
      </c>
      <c r="AJ382" s="16">
        <f t="shared" si="314"/>
        <v>13.863797828072668</v>
      </c>
      <c r="AK382" s="16">
        <f t="shared" si="315"/>
        <v>5.1963868872424639</v>
      </c>
      <c r="AL382" s="16">
        <f t="shared" si="316"/>
        <v>7.7844311377245505</v>
      </c>
      <c r="AM382" s="16">
        <f t="shared" si="317"/>
        <v>0.22328224906119964</v>
      </c>
      <c r="AN382" s="16">
        <f t="shared" si="318"/>
        <v>7.3683142190195881</v>
      </c>
      <c r="AO382" s="16">
        <f t="shared" si="319"/>
        <v>11.245305998173144</v>
      </c>
      <c r="AP382" s="16">
        <f t="shared" si="320"/>
        <v>2.3647620014208872</v>
      </c>
      <c r="AQ382" s="16">
        <f t="shared" si="321"/>
        <v>0.10149193139145438</v>
      </c>
      <c r="AR382" s="16">
        <f t="shared" si="322"/>
        <v>0.19283466964376331</v>
      </c>
      <c r="AS382" s="16">
        <f t="shared" si="323"/>
        <v>99.999999999999986</v>
      </c>
      <c r="AT382" s="16">
        <f t="shared" si="324"/>
        <v>12.455982949355526</v>
      </c>
      <c r="AV382" s="1" t="s">
        <v>428</v>
      </c>
      <c r="AY382" s="41">
        <v>44.5</v>
      </c>
      <c r="AZ382" s="41"/>
      <c r="BA382" s="41">
        <v>366</v>
      </c>
      <c r="BB382" s="41"/>
      <c r="BC382" s="41">
        <v>156</v>
      </c>
      <c r="BD382" s="41"/>
      <c r="BE382" s="41">
        <v>48.6</v>
      </c>
      <c r="BF382" s="41"/>
      <c r="BG382" s="41">
        <v>80</v>
      </c>
      <c r="BH382" s="41"/>
      <c r="BI382" s="41">
        <v>142</v>
      </c>
      <c r="BJ382" s="41"/>
      <c r="BK382" s="41">
        <v>108</v>
      </c>
      <c r="BL382" s="41"/>
      <c r="BM382" s="41"/>
      <c r="BN382" s="41">
        <v>8</v>
      </c>
      <c r="BO382" s="41"/>
      <c r="BP382" s="41"/>
      <c r="BQ382" s="41">
        <v>204</v>
      </c>
      <c r="BR382" s="41"/>
      <c r="BS382" s="41">
        <v>33</v>
      </c>
      <c r="BT382" s="41"/>
      <c r="BU382" s="41">
        <v>117</v>
      </c>
      <c r="BV382" s="41"/>
      <c r="BW382" s="41">
        <v>6</v>
      </c>
      <c r="CB382" s="9">
        <v>5.7</v>
      </c>
      <c r="CC382" s="9">
        <v>16.2</v>
      </c>
      <c r="CE382" s="9">
        <v>12.1</v>
      </c>
      <c r="CF382" s="9">
        <v>3.94</v>
      </c>
      <c r="CG382" s="9">
        <v>1.46</v>
      </c>
      <c r="CI382" s="9">
        <v>0.88</v>
      </c>
      <c r="CN382" s="9">
        <v>3.06</v>
      </c>
      <c r="CO382" s="9">
        <v>0.45</v>
      </c>
      <c r="CP382" s="9">
        <v>2.71</v>
      </c>
      <c r="CQ382" s="9">
        <v>0.36</v>
      </c>
      <c r="CS382" s="9">
        <v>0.61</v>
      </c>
    </row>
    <row r="383" spans="1:98">
      <c r="A383" s="1" t="s">
        <v>289</v>
      </c>
      <c r="B383" s="4" t="s">
        <v>290</v>
      </c>
      <c r="C383" s="40" t="s">
        <v>686</v>
      </c>
      <c r="D383" s="63">
        <v>67.22</v>
      </c>
      <c r="E383" s="63">
        <v>2.93</v>
      </c>
      <c r="F383" s="1" t="s">
        <v>308</v>
      </c>
      <c r="G383" s="4"/>
      <c r="H383" s="4"/>
      <c r="J383" s="38" t="s">
        <v>256</v>
      </c>
      <c r="K383" s="40"/>
      <c r="L383" s="4" t="s">
        <v>423</v>
      </c>
      <c r="M383" s="78" t="s">
        <v>867</v>
      </c>
      <c r="N383" s="78"/>
      <c r="O383" s="4"/>
      <c r="P383" s="4"/>
      <c r="Q383" s="4"/>
      <c r="AD383" s="23"/>
      <c r="AE383" s="23"/>
      <c r="AF383" s="23"/>
      <c r="AG383" s="45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45"/>
      <c r="AV383" s="4"/>
      <c r="AY383" s="39">
        <v>29.78</v>
      </c>
      <c r="BR383" s="39">
        <v>27.89</v>
      </c>
      <c r="BS383" s="39"/>
      <c r="BT383" s="39">
        <v>85.11</v>
      </c>
      <c r="BV383" s="39">
        <v>5.25</v>
      </c>
      <c r="BW383" s="39"/>
      <c r="CA383" s="39">
        <v>31.03</v>
      </c>
      <c r="CB383" s="39">
        <v>5.79</v>
      </c>
      <c r="CC383" s="39">
        <v>13.85</v>
      </c>
      <c r="CD383" s="39">
        <v>2.08</v>
      </c>
      <c r="CE383" s="39">
        <v>11.08</v>
      </c>
      <c r="CF383" s="39">
        <v>3.5</v>
      </c>
      <c r="CG383" s="39">
        <v>1.29</v>
      </c>
      <c r="CH383" s="39">
        <v>4.33</v>
      </c>
      <c r="CI383" s="39">
        <v>0.79</v>
      </c>
      <c r="CJ383" s="39">
        <v>4.8499999999999996</v>
      </c>
      <c r="CK383" s="39">
        <v>1.01</v>
      </c>
      <c r="CL383" s="39">
        <v>2.8</v>
      </c>
      <c r="CM383" s="39">
        <v>0.42</v>
      </c>
      <c r="CN383" s="39">
        <v>2.5299999999999998</v>
      </c>
      <c r="CO383" s="39">
        <v>0.38</v>
      </c>
      <c r="CP383" s="39">
        <v>2.42</v>
      </c>
      <c r="CQ383" s="39">
        <v>0.37</v>
      </c>
      <c r="CR383" s="39">
        <v>2.5299999999999998</v>
      </c>
      <c r="CS383" s="39">
        <v>0.33</v>
      </c>
      <c r="CT383" s="39">
        <v>0.12</v>
      </c>
    </row>
    <row r="384" spans="1:98">
      <c r="A384" s="1" t="s">
        <v>289</v>
      </c>
      <c r="B384" s="4" t="s">
        <v>290</v>
      </c>
      <c r="C384" s="40" t="s">
        <v>687</v>
      </c>
      <c r="D384" s="63">
        <v>67.22</v>
      </c>
      <c r="E384" s="63">
        <v>2.93</v>
      </c>
      <c r="F384" s="1" t="s">
        <v>308</v>
      </c>
      <c r="G384" s="4"/>
      <c r="H384" s="4"/>
      <c r="J384" s="40" t="s">
        <v>256</v>
      </c>
      <c r="K384" s="40"/>
      <c r="L384" s="4" t="s">
        <v>423</v>
      </c>
      <c r="M384" s="78" t="s">
        <v>867</v>
      </c>
      <c r="N384" s="78"/>
      <c r="O384" s="4"/>
      <c r="P384" s="4"/>
      <c r="Q384" s="4"/>
      <c r="AD384" s="23"/>
      <c r="AE384" s="23"/>
      <c r="AF384" s="23"/>
      <c r="AG384" s="45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45"/>
      <c r="AV384" s="4"/>
      <c r="AY384" s="39">
        <v>39.450000000000003</v>
      </c>
      <c r="BR384" s="39">
        <v>36.9</v>
      </c>
      <c r="BS384" s="39"/>
      <c r="BT384" s="39">
        <v>127.02</v>
      </c>
      <c r="BV384" s="39">
        <v>8.39</v>
      </c>
      <c r="BW384" s="39"/>
      <c r="CA384" s="39">
        <v>37.04</v>
      </c>
      <c r="CB384" s="39">
        <v>4.71</v>
      </c>
      <c r="CC384" s="39">
        <v>19.010000000000002</v>
      </c>
      <c r="CD384" s="39">
        <v>2.81</v>
      </c>
      <c r="CE384" s="39">
        <v>14.8</v>
      </c>
      <c r="CF384" s="39">
        <v>4.59</v>
      </c>
      <c r="CG384" s="39">
        <v>1.62</v>
      </c>
      <c r="CH384" s="39">
        <v>5.6</v>
      </c>
      <c r="CI384" s="39">
        <v>1.01</v>
      </c>
      <c r="CJ384" s="39">
        <v>6.32</v>
      </c>
      <c r="CK384" s="39">
        <v>1.31</v>
      </c>
      <c r="CL384" s="39">
        <v>3.69</v>
      </c>
      <c r="CM384" s="39">
        <v>0.56000000000000005</v>
      </c>
      <c r="CN384" s="39">
        <v>3.3</v>
      </c>
      <c r="CO384" s="39">
        <v>0.5</v>
      </c>
      <c r="CP384" s="39">
        <v>3.37</v>
      </c>
      <c r="CQ384" s="39">
        <v>0.5</v>
      </c>
      <c r="CR384" s="39">
        <v>5.36</v>
      </c>
      <c r="CS384" s="39">
        <v>0.61</v>
      </c>
      <c r="CT384" s="39">
        <v>0.15</v>
      </c>
    </row>
    <row r="385" spans="1:98">
      <c r="A385" s="1" t="s">
        <v>289</v>
      </c>
      <c r="B385" s="4" t="s">
        <v>290</v>
      </c>
      <c r="C385" s="1" t="s">
        <v>594</v>
      </c>
      <c r="D385" s="63">
        <v>67.22</v>
      </c>
      <c r="E385" s="63">
        <v>2.93</v>
      </c>
      <c r="F385" s="1" t="s">
        <v>308</v>
      </c>
      <c r="G385" s="1" t="s">
        <v>140</v>
      </c>
      <c r="H385" s="1" t="s">
        <v>141</v>
      </c>
      <c r="I385" s="9">
        <v>879.5</v>
      </c>
      <c r="J385" s="38" t="s">
        <v>256</v>
      </c>
      <c r="L385" s="4" t="s">
        <v>426</v>
      </c>
      <c r="M385" s="78" t="s">
        <v>866</v>
      </c>
      <c r="N385" s="78"/>
      <c r="Q385" s="1" t="s">
        <v>312</v>
      </c>
      <c r="R385" s="4">
        <v>48.9</v>
      </c>
      <c r="S385" s="1">
        <v>2.09</v>
      </c>
      <c r="T385" s="1">
        <v>14.55</v>
      </c>
      <c r="U385" s="1">
        <v>5.75</v>
      </c>
      <c r="V385" s="1">
        <v>6.23</v>
      </c>
      <c r="W385" s="1">
        <v>0.25</v>
      </c>
      <c r="X385" s="1">
        <v>7.44</v>
      </c>
      <c r="Y385" s="1">
        <v>10.83</v>
      </c>
      <c r="Z385" s="1">
        <v>2.31</v>
      </c>
      <c r="AA385" s="1">
        <v>0.09</v>
      </c>
      <c r="AB385" s="1">
        <v>0.19</v>
      </c>
      <c r="AC385" s="9">
        <v>1.43</v>
      </c>
      <c r="AD385" s="23">
        <f>SUM(R385:AB385)+AC385</f>
        <v>100.06</v>
      </c>
      <c r="AE385" s="21">
        <f>V385+0.899*U385</f>
        <v>11.39925</v>
      </c>
      <c r="AF385" s="23">
        <f>(X385/40.3)/((X385/40.3)+(AE385/71.844))</f>
        <v>0.53779499672271347</v>
      </c>
      <c r="AH385" s="16">
        <f t="shared" ref="AH385:AR385" si="325">100*R385/SUM($R385:$AB385)</f>
        <v>49.579235526716012</v>
      </c>
      <c r="AI385" s="16">
        <f t="shared" si="325"/>
        <v>2.1190307208760015</v>
      </c>
      <c r="AJ385" s="16">
        <f t="shared" si="325"/>
        <v>14.75210382236642</v>
      </c>
      <c r="AK385" s="16">
        <f t="shared" si="325"/>
        <v>5.8298692081516785</v>
      </c>
      <c r="AL385" s="16">
        <f t="shared" si="325"/>
        <v>6.3165365507452096</v>
      </c>
      <c r="AM385" s="16">
        <f t="shared" si="325"/>
        <v>0.25347257426746428</v>
      </c>
      <c r="AN385" s="16">
        <f t="shared" si="325"/>
        <v>7.5433438101997368</v>
      </c>
      <c r="AO385" s="16">
        <f t="shared" si="325"/>
        <v>10.980431917266552</v>
      </c>
      <c r="AP385" s="16">
        <f t="shared" si="325"/>
        <v>2.3420865862313698</v>
      </c>
      <c r="AQ385" s="16">
        <f t="shared" si="325"/>
        <v>9.1250126736287143E-2</v>
      </c>
      <c r="AR385" s="16">
        <f t="shared" si="325"/>
        <v>0.19263915644327284</v>
      </c>
      <c r="AS385" s="16">
        <f>SUM(AH385:AR385)</f>
        <v>100.00000000000003</v>
      </c>
      <c r="AT385" s="16">
        <f>AL385+0.899*AK385</f>
        <v>11.557588968873569</v>
      </c>
      <c r="AV385" s="1" t="s">
        <v>428</v>
      </c>
      <c r="AY385" s="41">
        <v>46.8</v>
      </c>
      <c r="AZ385" s="41"/>
      <c r="BA385" s="41">
        <v>391</v>
      </c>
      <c r="BB385" s="41"/>
      <c r="BC385" s="41">
        <v>182</v>
      </c>
      <c r="BD385" s="41"/>
      <c r="BE385" s="41">
        <v>46.8</v>
      </c>
      <c r="BF385" s="41"/>
      <c r="BG385" s="41">
        <v>85</v>
      </c>
      <c r="BH385" s="41"/>
      <c r="BI385" s="41">
        <v>193</v>
      </c>
      <c r="BJ385" s="41"/>
      <c r="BK385" s="41">
        <v>127</v>
      </c>
      <c r="BL385" s="41"/>
      <c r="BM385" s="41"/>
      <c r="BN385" s="41">
        <v>5</v>
      </c>
      <c r="BO385" s="41"/>
      <c r="BP385" s="41"/>
      <c r="BQ385" s="41">
        <v>300</v>
      </c>
      <c r="BR385" s="41"/>
      <c r="BS385" s="41">
        <v>31</v>
      </c>
      <c r="BT385" s="41"/>
      <c r="BU385" s="41">
        <v>122</v>
      </c>
      <c r="BV385" s="41"/>
      <c r="BW385" s="41">
        <v>6</v>
      </c>
      <c r="CB385" s="9">
        <v>5.5</v>
      </c>
      <c r="CC385" s="9">
        <v>14.8</v>
      </c>
      <c r="CE385" s="9">
        <v>11.7</v>
      </c>
      <c r="CF385" s="9">
        <v>3.9</v>
      </c>
      <c r="CG385" s="9">
        <v>1.41</v>
      </c>
      <c r="CI385" s="9">
        <v>0.83</v>
      </c>
      <c r="CN385" s="9">
        <v>2.75</v>
      </c>
      <c r="CO385" s="9">
        <v>0.4</v>
      </c>
      <c r="CP385" s="9">
        <v>2.5499999999999998</v>
      </c>
      <c r="CQ385" s="9">
        <v>0.36</v>
      </c>
      <c r="CS385" s="9">
        <v>0.52</v>
      </c>
    </row>
    <row r="386" spans="1:98">
      <c r="A386" s="1" t="s">
        <v>289</v>
      </c>
      <c r="B386" s="4" t="s">
        <v>290</v>
      </c>
      <c r="C386" s="40" t="s">
        <v>688</v>
      </c>
      <c r="D386" s="63">
        <v>67.22</v>
      </c>
      <c r="E386" s="63">
        <v>2.93</v>
      </c>
      <c r="F386" s="1" t="s">
        <v>308</v>
      </c>
      <c r="G386" s="4"/>
      <c r="H386" s="4"/>
      <c r="J386" s="38" t="s">
        <v>256</v>
      </c>
      <c r="K386" s="40"/>
      <c r="L386" s="4" t="s">
        <v>423</v>
      </c>
      <c r="M386" s="78" t="s">
        <v>867</v>
      </c>
      <c r="N386" s="78"/>
      <c r="O386" s="4"/>
      <c r="P386" s="4"/>
      <c r="Q386" s="4"/>
      <c r="AD386" s="23"/>
      <c r="AE386" s="23"/>
      <c r="AF386" s="23"/>
      <c r="AG386" s="45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45"/>
      <c r="AV386" s="4"/>
      <c r="AY386" s="39">
        <v>51.29</v>
      </c>
      <c r="BR386" s="39">
        <v>41.12</v>
      </c>
      <c r="BS386" s="39"/>
      <c r="BT386" s="39">
        <v>147.31</v>
      </c>
      <c r="BV386" s="39">
        <v>9.5399999999999991</v>
      </c>
      <c r="BW386" s="39"/>
      <c r="CA386" s="39">
        <v>39.89</v>
      </c>
      <c r="CB386" s="39">
        <v>6.66</v>
      </c>
      <c r="CC386" s="39">
        <v>21.53</v>
      </c>
      <c r="CD386" s="39">
        <v>3.18</v>
      </c>
      <c r="CE386" s="39">
        <v>16.59</v>
      </c>
      <c r="CF386" s="39">
        <v>5.0999999999999996</v>
      </c>
      <c r="CG386" s="39">
        <v>1.79</v>
      </c>
      <c r="CH386" s="39">
        <v>5.99</v>
      </c>
      <c r="CI386" s="39">
        <v>1.06</v>
      </c>
      <c r="CJ386" s="39">
        <v>6.48</v>
      </c>
      <c r="CK386" s="39">
        <v>1.31</v>
      </c>
      <c r="CL386" s="39">
        <v>3.59</v>
      </c>
      <c r="CM386" s="39">
        <v>0.54</v>
      </c>
      <c r="CN386" s="39">
        <v>3.31</v>
      </c>
      <c r="CO386" s="39">
        <v>0.5</v>
      </c>
      <c r="CP386" s="39">
        <v>3.38</v>
      </c>
      <c r="CQ386" s="39">
        <v>0.53</v>
      </c>
      <c r="CR386" s="39">
        <v>1.34</v>
      </c>
      <c r="CS386" s="39">
        <v>0.5</v>
      </c>
      <c r="CT386" s="39">
        <v>0.16</v>
      </c>
    </row>
    <row r="387" spans="1:98">
      <c r="A387" s="1" t="s">
        <v>289</v>
      </c>
      <c r="B387" s="4" t="s">
        <v>290</v>
      </c>
      <c r="C387" s="1" t="s">
        <v>595</v>
      </c>
      <c r="D387" s="63">
        <v>67.22</v>
      </c>
      <c r="E387" s="63">
        <v>2.93</v>
      </c>
      <c r="F387" s="1" t="s">
        <v>308</v>
      </c>
      <c r="G387" s="1" t="s">
        <v>156</v>
      </c>
      <c r="H387" s="1" t="s">
        <v>141</v>
      </c>
      <c r="I387" s="9">
        <v>881.7</v>
      </c>
      <c r="J387" s="38" t="s">
        <v>256</v>
      </c>
      <c r="L387" s="4" t="s">
        <v>426</v>
      </c>
      <c r="M387" s="78" t="s">
        <v>866</v>
      </c>
      <c r="N387" s="78"/>
      <c r="Q387" s="1" t="s">
        <v>312</v>
      </c>
      <c r="R387" s="4">
        <v>48.7</v>
      </c>
      <c r="S387" s="1">
        <v>2.15</v>
      </c>
      <c r="T387" s="1">
        <v>14.52</v>
      </c>
      <c r="U387" s="1">
        <v>6.01</v>
      </c>
      <c r="V387" s="1">
        <v>5.92</v>
      </c>
      <c r="W387" s="1">
        <v>0.28999999999999998</v>
      </c>
      <c r="X387" s="1">
        <v>7.15</v>
      </c>
      <c r="Y387" s="1">
        <v>10.29</v>
      </c>
      <c r="Z387" s="1">
        <v>2.6</v>
      </c>
      <c r="AA387" s="1">
        <v>0.12</v>
      </c>
      <c r="AB387" s="1">
        <v>0.2</v>
      </c>
      <c r="AC387" s="9">
        <v>1.66</v>
      </c>
      <c r="AD387" s="23">
        <f>SUM(R387:AB387)+AC387</f>
        <v>99.610000000000028</v>
      </c>
      <c r="AE387" s="21">
        <f>V387+0.899*U387</f>
        <v>11.322990000000001</v>
      </c>
      <c r="AF387" s="23">
        <f>(X387/40.3)/((X387/40.3)+(AE387/71.844))</f>
        <v>0.52957115367056129</v>
      </c>
      <c r="AH387" s="16">
        <f t="shared" ref="AH387:AR388" si="326">100*R387/SUM($R387:$AB387)</f>
        <v>49.719244512506364</v>
      </c>
      <c r="AI387" s="16">
        <f t="shared" si="326"/>
        <v>2.1949974476773857</v>
      </c>
      <c r="AJ387" s="16">
        <f t="shared" si="326"/>
        <v>14.823889739663089</v>
      </c>
      <c r="AK387" s="16">
        <f t="shared" si="326"/>
        <v>6.1357835630423665</v>
      </c>
      <c r="AL387" s="16">
        <f t="shared" si="326"/>
        <v>6.0438999489535457</v>
      </c>
      <c r="AM387" s="16">
        <f t="shared" si="326"/>
        <v>0.29606942317508922</v>
      </c>
      <c r="AN387" s="16">
        <f t="shared" si="326"/>
        <v>7.2996426748340966</v>
      </c>
      <c r="AO387" s="16">
        <f t="shared" si="326"/>
        <v>10.505359877488511</v>
      </c>
      <c r="AP387" s="16">
        <f t="shared" si="326"/>
        <v>2.6544155181214899</v>
      </c>
      <c r="AQ387" s="16">
        <f t="shared" si="326"/>
        <v>0.12251148545176106</v>
      </c>
      <c r="AR387" s="16">
        <f t="shared" si="326"/>
        <v>0.20418580908626843</v>
      </c>
      <c r="AS387" s="16">
        <f>SUM(AH387:AR387)</f>
        <v>100</v>
      </c>
      <c r="AT387" s="16">
        <f>AL387+0.899*AK387</f>
        <v>11.559969372128634</v>
      </c>
      <c r="AV387" s="1" t="s">
        <v>428</v>
      </c>
      <c r="AY387" s="41"/>
      <c r="AZ387" s="41"/>
      <c r="BA387" s="41">
        <v>392</v>
      </c>
      <c r="BB387" s="41"/>
      <c r="BC387" s="41">
        <v>183</v>
      </c>
      <c r="BD387" s="41"/>
      <c r="BE387" s="41">
        <v>47</v>
      </c>
      <c r="BF387" s="41"/>
      <c r="BG387" s="41">
        <v>81</v>
      </c>
      <c r="BH387" s="41"/>
      <c r="BI387" s="41">
        <v>182</v>
      </c>
      <c r="BJ387" s="41"/>
      <c r="BK387" s="41">
        <v>115</v>
      </c>
      <c r="BL387" s="41"/>
      <c r="BM387" s="41"/>
      <c r="BN387" s="41">
        <v>3</v>
      </c>
      <c r="BO387" s="41"/>
      <c r="BP387" s="41"/>
      <c r="BQ387" s="41">
        <v>217</v>
      </c>
      <c r="BR387" s="41"/>
      <c r="BS387" s="41">
        <v>32</v>
      </c>
      <c r="BT387" s="41"/>
      <c r="BU387" s="41">
        <v>125</v>
      </c>
      <c r="BV387" s="41"/>
      <c r="BW387" s="41">
        <v>7</v>
      </c>
      <c r="CB387" s="9">
        <v>5</v>
      </c>
      <c r="CC387" s="9">
        <v>13.4</v>
      </c>
      <c r="CE387" s="9">
        <v>10.1</v>
      </c>
      <c r="CF387" s="9">
        <v>3.36</v>
      </c>
      <c r="CG387" s="9">
        <v>1.27</v>
      </c>
      <c r="CI387" s="9">
        <v>0.72</v>
      </c>
      <c r="CN387" s="9">
        <v>2.36</v>
      </c>
      <c r="CO387" s="9">
        <v>0.36</v>
      </c>
      <c r="CP387" s="9">
        <v>2.27</v>
      </c>
      <c r="CQ387" s="9">
        <v>0.37</v>
      </c>
      <c r="CS387" s="9">
        <v>0.45</v>
      </c>
      <c r="CT387" s="9">
        <v>0.11</v>
      </c>
    </row>
    <row r="388" spans="1:98">
      <c r="A388" s="1" t="s">
        <v>289</v>
      </c>
      <c r="B388" s="4" t="s">
        <v>290</v>
      </c>
      <c r="C388" s="1" t="s">
        <v>596</v>
      </c>
      <c r="D388" s="63">
        <v>67.22</v>
      </c>
      <c r="E388" s="63">
        <v>2.93</v>
      </c>
      <c r="F388" s="1" t="s">
        <v>308</v>
      </c>
      <c r="G388" s="1" t="s">
        <v>164</v>
      </c>
      <c r="H388" s="1" t="s">
        <v>141</v>
      </c>
      <c r="I388" s="9">
        <v>888.7</v>
      </c>
      <c r="J388" s="38" t="s">
        <v>256</v>
      </c>
      <c r="L388" s="4" t="s">
        <v>426</v>
      </c>
      <c r="M388" s="78" t="s">
        <v>866</v>
      </c>
      <c r="N388" s="78"/>
      <c r="Q388" s="1" t="s">
        <v>312</v>
      </c>
      <c r="R388" s="4">
        <v>48.2</v>
      </c>
      <c r="S388" s="1">
        <v>1.52</v>
      </c>
      <c r="T388" s="1">
        <v>15.1</v>
      </c>
      <c r="U388" s="1">
        <v>4.67</v>
      </c>
      <c r="V388" s="1">
        <v>6.02</v>
      </c>
      <c r="W388" s="1">
        <v>0.16</v>
      </c>
      <c r="X388" s="1">
        <v>8.41</v>
      </c>
      <c r="Y388" s="1">
        <v>11.25</v>
      </c>
      <c r="Z388" s="1">
        <v>2.21</v>
      </c>
      <c r="AA388" s="1">
        <v>0.09</v>
      </c>
      <c r="AB388" s="1">
        <v>0.13</v>
      </c>
      <c r="AC388" s="9">
        <v>1.79</v>
      </c>
      <c r="AD388" s="23">
        <f>SUM(R388:AB388)+AC388</f>
        <v>99.55</v>
      </c>
      <c r="AE388" s="21">
        <f>V388+0.899*U388</f>
        <v>10.21833</v>
      </c>
      <c r="AF388" s="23">
        <f>(X388/40.3)/((X388/40.3)+(AE388/71.844))</f>
        <v>0.59468900825863513</v>
      </c>
      <c r="AH388" s="16">
        <f t="shared" si="326"/>
        <v>49.304418985270054</v>
      </c>
      <c r="AI388" s="16">
        <f t="shared" si="326"/>
        <v>1.5548281505728316</v>
      </c>
      <c r="AJ388" s="16">
        <f t="shared" si="326"/>
        <v>15.445990180032735</v>
      </c>
      <c r="AK388" s="16">
        <f t="shared" si="326"/>
        <v>4.777004909983634</v>
      </c>
      <c r="AL388" s="16">
        <f t="shared" si="326"/>
        <v>6.1579378068739778</v>
      </c>
      <c r="AM388" s="16">
        <f t="shared" si="326"/>
        <v>0.16366612111292964</v>
      </c>
      <c r="AN388" s="16">
        <f t="shared" si="326"/>
        <v>8.6027004909983642</v>
      </c>
      <c r="AO388" s="16">
        <f t="shared" si="326"/>
        <v>11.507774140752865</v>
      </c>
      <c r="AP388" s="16">
        <f t="shared" si="326"/>
        <v>2.2606382978723407</v>
      </c>
      <c r="AQ388" s="16">
        <f t="shared" si="326"/>
        <v>9.2062193126022929E-2</v>
      </c>
      <c r="AR388" s="16">
        <f t="shared" si="326"/>
        <v>0.13297872340425534</v>
      </c>
      <c r="AS388" s="16">
        <f>SUM(AH388:AR388)</f>
        <v>99.999999999999986</v>
      </c>
      <c r="AT388" s="16">
        <f>AL388+0.899*AK388</f>
        <v>10.452465220949264</v>
      </c>
      <c r="AV388" s="1" t="s">
        <v>428</v>
      </c>
      <c r="AY388" s="41">
        <v>41</v>
      </c>
      <c r="AZ388" s="41"/>
      <c r="BA388" s="41">
        <v>312</v>
      </c>
      <c r="BB388" s="41"/>
      <c r="BC388" s="41">
        <v>328</v>
      </c>
      <c r="BD388" s="41"/>
      <c r="BE388" s="41">
        <v>47.9</v>
      </c>
      <c r="BF388" s="41"/>
      <c r="BG388" s="41">
        <v>147</v>
      </c>
      <c r="BH388" s="41"/>
      <c r="BI388" s="41">
        <v>134</v>
      </c>
      <c r="BJ388" s="41"/>
      <c r="BK388" s="41">
        <v>92</v>
      </c>
      <c r="BL388" s="41"/>
      <c r="BM388" s="41"/>
      <c r="BN388" s="41">
        <v>3</v>
      </c>
      <c r="BO388" s="41"/>
      <c r="BP388" s="41"/>
      <c r="BQ388" s="41">
        <v>189</v>
      </c>
      <c r="BR388" s="41"/>
      <c r="BS388" s="41">
        <v>26</v>
      </c>
      <c r="BT388" s="41"/>
      <c r="BU388" s="41">
        <v>90</v>
      </c>
      <c r="BV388" s="41"/>
      <c r="BW388" s="41">
        <v>5</v>
      </c>
    </row>
    <row r="389" spans="1:98">
      <c r="A389" s="1" t="s">
        <v>289</v>
      </c>
      <c r="B389" s="4" t="s">
        <v>290</v>
      </c>
      <c r="C389" s="40" t="s">
        <v>689</v>
      </c>
      <c r="D389" s="63">
        <v>67.22</v>
      </c>
      <c r="E389" s="63">
        <v>2.93</v>
      </c>
      <c r="F389" s="1" t="s">
        <v>308</v>
      </c>
      <c r="G389" s="4"/>
      <c r="H389" s="4"/>
      <c r="J389" s="40" t="s">
        <v>256</v>
      </c>
      <c r="K389" s="40"/>
      <c r="L389" s="4" t="s">
        <v>423</v>
      </c>
      <c r="M389" s="78" t="s">
        <v>867</v>
      </c>
      <c r="N389" s="78"/>
      <c r="O389" s="4"/>
      <c r="P389" s="4"/>
      <c r="Q389" s="4"/>
      <c r="AD389" s="23"/>
      <c r="AE389" s="23"/>
      <c r="AF389" s="23"/>
      <c r="AG389" s="45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45"/>
      <c r="AV389" s="4"/>
      <c r="AY389" s="39">
        <v>33.86</v>
      </c>
      <c r="BR389" s="39">
        <v>27.37</v>
      </c>
      <c r="BS389" s="39"/>
      <c r="BT389" s="39">
        <v>89.66</v>
      </c>
      <c r="BV389" s="39">
        <v>4.91</v>
      </c>
      <c r="BW389" s="39"/>
      <c r="CA389" s="39">
        <v>24.31</v>
      </c>
      <c r="CB389" s="39">
        <v>3.06</v>
      </c>
      <c r="CC389" s="39">
        <v>13.26</v>
      </c>
      <c r="CD389" s="39">
        <v>2.02</v>
      </c>
      <c r="CE389" s="39">
        <v>10.91</v>
      </c>
      <c r="CF389" s="39">
        <v>3.48</v>
      </c>
      <c r="CG389" s="39">
        <v>1.28</v>
      </c>
      <c r="CH389" s="39">
        <v>4.29</v>
      </c>
      <c r="CI389" s="39">
        <v>0.78</v>
      </c>
      <c r="CJ389" s="39">
        <v>4.92</v>
      </c>
      <c r="CK389" s="39">
        <v>1.01</v>
      </c>
      <c r="CL389" s="39">
        <v>2.86</v>
      </c>
      <c r="CM389" s="39">
        <v>0.44</v>
      </c>
      <c r="CN389" s="39">
        <v>2.62</v>
      </c>
      <c r="CO389" s="39">
        <v>0.4</v>
      </c>
      <c r="CP389" s="39">
        <v>2.4700000000000002</v>
      </c>
      <c r="CQ389" s="39">
        <v>0.34</v>
      </c>
      <c r="CR389" s="39">
        <v>1.06</v>
      </c>
      <c r="CS389" s="39">
        <v>0.28999999999999998</v>
      </c>
      <c r="CT389" s="39">
        <v>0.11</v>
      </c>
    </row>
    <row r="390" spans="1:98">
      <c r="A390" s="1" t="s">
        <v>289</v>
      </c>
      <c r="B390" s="4" t="s">
        <v>290</v>
      </c>
      <c r="C390" s="1" t="s">
        <v>597</v>
      </c>
      <c r="D390" s="63">
        <v>67.22</v>
      </c>
      <c r="E390" s="63">
        <v>2.93</v>
      </c>
      <c r="F390" s="1" t="s">
        <v>308</v>
      </c>
      <c r="G390" s="1" t="s">
        <v>230</v>
      </c>
      <c r="H390" s="1" t="s">
        <v>141</v>
      </c>
      <c r="I390" s="9">
        <v>893.2</v>
      </c>
      <c r="J390" s="38" t="s">
        <v>256</v>
      </c>
      <c r="L390" s="4" t="s">
        <v>426</v>
      </c>
      <c r="M390" s="78" t="s">
        <v>866</v>
      </c>
      <c r="N390" s="78"/>
      <c r="Q390" s="1" t="s">
        <v>312</v>
      </c>
      <c r="R390" s="4">
        <v>48.1</v>
      </c>
      <c r="S390" s="1">
        <v>1.84</v>
      </c>
      <c r="T390" s="1">
        <v>14.8</v>
      </c>
      <c r="U390" s="1">
        <v>8.07</v>
      </c>
      <c r="V390" s="1">
        <v>4.62</v>
      </c>
      <c r="W390" s="1">
        <v>0.18</v>
      </c>
      <c r="X390" s="1">
        <v>7.63</v>
      </c>
      <c r="Y390" s="1">
        <v>9.39</v>
      </c>
      <c r="Z390" s="1">
        <v>2.41</v>
      </c>
      <c r="AA390" s="1">
        <v>0.65</v>
      </c>
      <c r="AB390" s="1">
        <v>0.21</v>
      </c>
      <c r="AC390" s="9">
        <v>1.9</v>
      </c>
      <c r="AD390" s="23">
        <f>SUM(R390:AB390)+AC390</f>
        <v>99.800000000000011</v>
      </c>
      <c r="AE390" s="21">
        <f>V390+0.899*U390</f>
        <v>11.874930000000001</v>
      </c>
      <c r="AF390" s="23">
        <f>(X390/40.3)/((X390/40.3)+(AE390/71.844))</f>
        <v>0.53389892267027605</v>
      </c>
      <c r="AH390" s="16">
        <f t="shared" ref="AH390:AR391" si="327">100*R390/SUM($R390:$AB390)</f>
        <v>49.131767109295197</v>
      </c>
      <c r="AI390" s="16">
        <f t="shared" si="327"/>
        <v>1.8794688457609805</v>
      </c>
      <c r="AJ390" s="16">
        <f t="shared" si="327"/>
        <v>15.11746680286006</v>
      </c>
      <c r="AK390" s="16">
        <f t="shared" si="327"/>
        <v>8.2431052093973438</v>
      </c>
      <c r="AL390" s="16">
        <f t="shared" si="327"/>
        <v>4.7191011235955056</v>
      </c>
      <c r="AM390" s="16">
        <f t="shared" si="327"/>
        <v>0.18386108273748722</v>
      </c>
      <c r="AN390" s="16">
        <f t="shared" si="327"/>
        <v>7.7936670071501526</v>
      </c>
      <c r="AO390" s="16">
        <f t="shared" si="327"/>
        <v>9.5914198161389166</v>
      </c>
      <c r="AP390" s="16">
        <f t="shared" si="327"/>
        <v>2.4616956077630232</v>
      </c>
      <c r="AQ390" s="16">
        <f t="shared" si="327"/>
        <v>0.66394279877425944</v>
      </c>
      <c r="AR390" s="16">
        <f t="shared" si="327"/>
        <v>0.21450459652706844</v>
      </c>
      <c r="AS390" s="16">
        <f>SUM(AH390:AR390)</f>
        <v>99.999999999999986</v>
      </c>
      <c r="AT390" s="16">
        <f>AL390+0.899*AK390</f>
        <v>12.129652706843718</v>
      </c>
      <c r="AV390" s="1" t="s">
        <v>428</v>
      </c>
      <c r="AY390" s="41"/>
      <c r="AZ390" s="41"/>
      <c r="BA390" s="41">
        <v>348</v>
      </c>
      <c r="BB390" s="41"/>
      <c r="BC390" s="41">
        <v>165</v>
      </c>
      <c r="BD390" s="41"/>
      <c r="BE390" s="41">
        <v>43</v>
      </c>
      <c r="BF390" s="41"/>
      <c r="BG390" s="41">
        <v>88</v>
      </c>
      <c r="BH390" s="41"/>
      <c r="BI390" s="41">
        <v>317</v>
      </c>
      <c r="BJ390" s="41"/>
      <c r="BK390" s="41">
        <v>89</v>
      </c>
      <c r="BL390" s="41"/>
      <c r="BM390" s="41"/>
      <c r="BN390" s="41">
        <v>8</v>
      </c>
      <c r="BO390" s="41"/>
      <c r="BP390" s="41"/>
      <c r="BQ390" s="41">
        <v>193</v>
      </c>
      <c r="BR390" s="41"/>
      <c r="BS390" s="41">
        <v>37</v>
      </c>
      <c r="BT390" s="41"/>
      <c r="BU390" s="41">
        <v>110</v>
      </c>
      <c r="BV390" s="41"/>
      <c r="BW390" s="41">
        <v>5</v>
      </c>
    </row>
    <row r="391" spans="1:98">
      <c r="A391" s="1" t="s">
        <v>289</v>
      </c>
      <c r="B391" s="4" t="s">
        <v>290</v>
      </c>
      <c r="C391" s="1" t="s">
        <v>598</v>
      </c>
      <c r="D391" s="63">
        <v>67.22</v>
      </c>
      <c r="E391" s="63">
        <v>2.93</v>
      </c>
      <c r="F391" s="1" t="s">
        <v>308</v>
      </c>
      <c r="G391" s="1" t="s">
        <v>145</v>
      </c>
      <c r="H391" s="1" t="s">
        <v>141</v>
      </c>
      <c r="I391" s="9">
        <v>897.6</v>
      </c>
      <c r="J391" s="38" t="s">
        <v>256</v>
      </c>
      <c r="L391" s="4" t="s">
        <v>426</v>
      </c>
      <c r="M391" s="78" t="s">
        <v>866</v>
      </c>
      <c r="N391" s="78"/>
      <c r="Q391" s="1" t="s">
        <v>312</v>
      </c>
      <c r="R391" s="4">
        <v>49.2</v>
      </c>
      <c r="S391" s="1">
        <v>1.78</v>
      </c>
      <c r="T391" s="1">
        <v>14.09</v>
      </c>
      <c r="U391" s="1">
        <v>5.58</v>
      </c>
      <c r="V391" s="1">
        <v>6.85</v>
      </c>
      <c r="W391" s="1">
        <v>0.21</v>
      </c>
      <c r="X391" s="1">
        <v>7.15</v>
      </c>
      <c r="Y391" s="1">
        <v>11.27</v>
      </c>
      <c r="Z391" s="1">
        <v>2.31</v>
      </c>
      <c r="AA391" s="1">
        <v>0.09</v>
      </c>
      <c r="AB391" s="1">
        <v>0.17</v>
      </c>
      <c r="AC391" s="9">
        <v>1.1599999999999999</v>
      </c>
      <c r="AD391" s="23">
        <f>SUM(R391:AB391)+AC391</f>
        <v>99.86</v>
      </c>
      <c r="AE391" s="21">
        <f>V391+0.899*U391</f>
        <v>11.86642</v>
      </c>
      <c r="AF391" s="23">
        <f>(X391/40.3)/((X391/40.3)+(AE391/71.844))</f>
        <v>0.51787873101401627</v>
      </c>
      <c r="AH391" s="16">
        <f t="shared" si="327"/>
        <v>49.848024316109424</v>
      </c>
      <c r="AI391" s="16">
        <f t="shared" si="327"/>
        <v>1.8034447821681863</v>
      </c>
      <c r="AJ391" s="16">
        <f t="shared" si="327"/>
        <v>14.275582573454914</v>
      </c>
      <c r="AK391" s="16">
        <f t="shared" si="327"/>
        <v>5.6534954407294835</v>
      </c>
      <c r="AL391" s="16">
        <f t="shared" si="327"/>
        <v>6.940222897669706</v>
      </c>
      <c r="AM391" s="16">
        <f t="shared" si="327"/>
        <v>0.21276595744680851</v>
      </c>
      <c r="AN391" s="16">
        <f t="shared" si="327"/>
        <v>7.2441742654508614</v>
      </c>
      <c r="AO391" s="16">
        <f t="shared" si="327"/>
        <v>11.418439716312056</v>
      </c>
      <c r="AP391" s="16">
        <f t="shared" si="327"/>
        <v>2.3404255319148937</v>
      </c>
      <c r="AQ391" s="16">
        <f t="shared" si="327"/>
        <v>9.1185410334346503E-2</v>
      </c>
      <c r="AR391" s="16">
        <f t="shared" si="327"/>
        <v>0.17223910840932116</v>
      </c>
      <c r="AS391" s="16">
        <f>SUM(AH391:AR391)</f>
        <v>99.999999999999986</v>
      </c>
      <c r="AT391" s="16">
        <f>AL391+0.899*AK391</f>
        <v>12.022715298885512</v>
      </c>
      <c r="AV391" s="1" t="s">
        <v>428</v>
      </c>
      <c r="AY391" s="41">
        <v>43.2</v>
      </c>
      <c r="AZ391" s="41"/>
      <c r="BA391" s="41">
        <v>348</v>
      </c>
      <c r="BB391" s="41"/>
      <c r="BC391" s="41">
        <v>151</v>
      </c>
      <c r="BD391" s="41"/>
      <c r="BE391" s="41">
        <v>48.1</v>
      </c>
      <c r="BF391" s="41"/>
      <c r="BG391" s="41">
        <v>84</v>
      </c>
      <c r="BH391" s="41"/>
      <c r="BI391" s="41">
        <v>148</v>
      </c>
      <c r="BJ391" s="41"/>
      <c r="BK391" s="41">
        <v>107</v>
      </c>
      <c r="BL391" s="41"/>
      <c r="BM391" s="41"/>
      <c r="BN391" s="41">
        <v>2</v>
      </c>
      <c r="BO391" s="41"/>
      <c r="BP391" s="41"/>
      <c r="BQ391" s="41">
        <v>202</v>
      </c>
      <c r="BR391" s="41"/>
      <c r="BS391" s="41">
        <v>31</v>
      </c>
      <c r="BT391" s="41"/>
      <c r="BU391" s="41">
        <v>106</v>
      </c>
      <c r="BV391" s="41"/>
      <c r="BW391" s="41">
        <v>4</v>
      </c>
    </row>
    <row r="392" spans="1:98">
      <c r="A392" s="1" t="s">
        <v>289</v>
      </c>
      <c r="B392" s="4" t="s">
        <v>290</v>
      </c>
      <c r="C392" s="40" t="s">
        <v>86</v>
      </c>
      <c r="D392" s="63">
        <v>67.22</v>
      </c>
      <c r="E392" s="63">
        <v>2.93</v>
      </c>
      <c r="F392" s="1" t="s">
        <v>308</v>
      </c>
      <c r="G392" s="4"/>
      <c r="H392" s="4"/>
      <c r="J392" s="38" t="s">
        <v>256</v>
      </c>
      <c r="K392" s="40"/>
      <c r="L392" s="4" t="s">
        <v>423</v>
      </c>
      <c r="M392" s="78" t="s">
        <v>867</v>
      </c>
      <c r="N392" s="78"/>
      <c r="O392" s="4"/>
      <c r="P392" s="4"/>
      <c r="Q392" s="4"/>
      <c r="AD392" s="23"/>
      <c r="AE392" s="23"/>
      <c r="AF392" s="23"/>
      <c r="AG392" s="45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45"/>
      <c r="AV392" s="4"/>
      <c r="AY392" s="39">
        <v>43.97</v>
      </c>
      <c r="BR392" s="39">
        <v>32.92</v>
      </c>
      <c r="BS392" s="39"/>
      <c r="BT392" s="39">
        <v>135.86000000000001</v>
      </c>
      <c r="BV392" s="39">
        <v>6.44</v>
      </c>
      <c r="BW392" s="39"/>
      <c r="CA392" s="39">
        <v>31.89</v>
      </c>
      <c r="CB392" s="39">
        <v>5.63</v>
      </c>
      <c r="CC392" s="39">
        <v>15.36</v>
      </c>
      <c r="CD392" s="39">
        <v>2.2999999999999998</v>
      </c>
      <c r="CE392" s="39">
        <v>12.12</v>
      </c>
      <c r="CF392" s="39">
        <v>3.87</v>
      </c>
      <c r="CG392" s="39">
        <v>1.38</v>
      </c>
      <c r="CH392" s="39">
        <v>4.58</v>
      </c>
      <c r="CI392" s="39">
        <v>0.87</v>
      </c>
      <c r="CJ392" s="39">
        <v>5.47</v>
      </c>
      <c r="CK392" s="39">
        <v>1.17</v>
      </c>
      <c r="CL392" s="39">
        <v>3.25</v>
      </c>
      <c r="CM392" s="39">
        <v>0.49</v>
      </c>
      <c r="CN392" s="39">
        <v>2.99</v>
      </c>
      <c r="CO392" s="39">
        <v>0.45</v>
      </c>
      <c r="CP392" s="39">
        <v>3.4</v>
      </c>
      <c r="CQ392" s="39">
        <v>0.35</v>
      </c>
      <c r="CR392" s="39">
        <v>0.75</v>
      </c>
      <c r="CS392" s="39">
        <v>0.48</v>
      </c>
      <c r="CT392" s="39">
        <v>0.11</v>
      </c>
    </row>
    <row r="393" spans="1:98">
      <c r="A393" s="1" t="s">
        <v>289</v>
      </c>
      <c r="B393" s="4" t="s">
        <v>290</v>
      </c>
      <c r="C393" s="40" t="s">
        <v>86</v>
      </c>
      <c r="D393" s="63">
        <v>67.22</v>
      </c>
      <c r="E393" s="63">
        <v>2.93</v>
      </c>
      <c r="F393" s="1" t="s">
        <v>308</v>
      </c>
      <c r="G393" s="4"/>
      <c r="H393" s="4"/>
      <c r="J393" s="38" t="s">
        <v>256</v>
      </c>
      <c r="K393" s="40"/>
      <c r="L393" s="4" t="s">
        <v>423</v>
      </c>
      <c r="M393" s="78" t="s">
        <v>867</v>
      </c>
      <c r="N393" s="78"/>
      <c r="O393" s="40"/>
      <c r="P393" s="4"/>
      <c r="Q393" s="4"/>
      <c r="R393" s="4">
        <v>49.6</v>
      </c>
      <c r="S393" s="4">
        <v>1.83</v>
      </c>
      <c r="T393" s="4">
        <v>14.44</v>
      </c>
      <c r="U393" s="4">
        <v>13.47</v>
      </c>
      <c r="W393" s="4">
        <v>0.32</v>
      </c>
      <c r="X393" s="4">
        <v>6.17</v>
      </c>
      <c r="Y393" s="4">
        <v>11.58</v>
      </c>
      <c r="Z393" s="4">
        <v>2.37</v>
      </c>
      <c r="AA393" s="4">
        <v>0.1</v>
      </c>
      <c r="AB393" s="4">
        <v>0.13</v>
      </c>
      <c r="AD393" s="23">
        <f>SUM(R393:AB393)+AC393</f>
        <v>100.00999999999999</v>
      </c>
      <c r="AE393" s="21">
        <f>V393+0.899*U393</f>
        <v>12.109530000000001</v>
      </c>
      <c r="AF393" s="23">
        <f>(X393/40.3)/((X393/40.3)+(AE393/71.844))</f>
        <v>0.47598143163201218</v>
      </c>
      <c r="AG393" s="45"/>
      <c r="AH393" s="16">
        <f t="shared" ref="AH393:AR393" si="328">100*R393/SUM($R393:$AB393)</f>
        <v>49.595040495950407</v>
      </c>
      <c r="AI393" s="16">
        <f t="shared" si="328"/>
        <v>1.8298170182981703</v>
      </c>
      <c r="AJ393" s="16">
        <f t="shared" si="328"/>
        <v>14.438556144385563</v>
      </c>
      <c r="AK393" s="16">
        <f t="shared" si="328"/>
        <v>13.468653134686532</v>
      </c>
      <c r="AL393" s="16">
        <f t="shared" si="328"/>
        <v>0</v>
      </c>
      <c r="AM393" s="16">
        <f t="shared" si="328"/>
        <v>0.31996800319968005</v>
      </c>
      <c r="AN393" s="16">
        <f t="shared" si="328"/>
        <v>6.1693830616938312</v>
      </c>
      <c r="AO393" s="16">
        <f t="shared" si="328"/>
        <v>11.578842115788422</v>
      </c>
      <c r="AP393" s="16">
        <f t="shared" si="328"/>
        <v>2.3697630236976304</v>
      </c>
      <c r="AQ393" s="16">
        <f t="shared" si="328"/>
        <v>9.9990000999900019E-2</v>
      </c>
      <c r="AR393" s="16">
        <f t="shared" si="328"/>
        <v>0.12998700129987004</v>
      </c>
      <c r="AS393" s="16">
        <f>SUM(AH393:AR393)</f>
        <v>100</v>
      </c>
      <c r="AT393" s="16">
        <f>AL393+0.899*AK393</f>
        <v>12.108319168083192</v>
      </c>
      <c r="AU393" s="45"/>
      <c r="AV393" s="4"/>
      <c r="AY393" s="39"/>
      <c r="BR393" s="39">
        <v>31.93</v>
      </c>
      <c r="BS393" s="39"/>
      <c r="BT393" s="39">
        <v>115.79</v>
      </c>
      <c r="BV393" s="39">
        <v>6.06</v>
      </c>
      <c r="BW393" s="39"/>
      <c r="CA393" s="39">
        <v>27.21</v>
      </c>
      <c r="CB393" s="39">
        <v>7.88</v>
      </c>
      <c r="CC393" s="39">
        <v>16.09</v>
      </c>
      <c r="CD393" s="39">
        <v>2.42</v>
      </c>
      <c r="CE393" s="39">
        <v>12.87</v>
      </c>
      <c r="CF393" s="39">
        <v>4.03</v>
      </c>
      <c r="CG393" s="39">
        <v>1.44</v>
      </c>
      <c r="CH393" s="39">
        <v>4.9400000000000004</v>
      </c>
      <c r="CI393" s="39">
        <v>0.89</v>
      </c>
      <c r="CJ393" s="39">
        <v>5.76</v>
      </c>
      <c r="CK393" s="39">
        <v>1.24</v>
      </c>
      <c r="CL393" s="39">
        <v>3.39</v>
      </c>
      <c r="CM393" s="39">
        <v>0.54</v>
      </c>
      <c r="CN393" s="39">
        <v>3.13</v>
      </c>
      <c r="CO393" s="39">
        <v>0.48</v>
      </c>
      <c r="CP393" s="39">
        <v>3.1</v>
      </c>
      <c r="CQ393" s="39">
        <v>0.35</v>
      </c>
      <c r="CR393" s="39">
        <v>1.45</v>
      </c>
      <c r="CS393" s="39">
        <v>0.02</v>
      </c>
      <c r="CT393" s="39">
        <v>0.1</v>
      </c>
    </row>
    <row r="394" spans="1:98">
      <c r="A394" s="1" t="s">
        <v>289</v>
      </c>
      <c r="B394" s="4" t="s">
        <v>290</v>
      </c>
      <c r="C394" s="38" t="s">
        <v>86</v>
      </c>
      <c r="D394" s="63">
        <v>67.22</v>
      </c>
      <c r="E394" s="63">
        <v>2.93</v>
      </c>
      <c r="F394" s="1" t="s">
        <v>308</v>
      </c>
      <c r="G394" s="37"/>
      <c r="H394" s="37"/>
      <c r="I394" s="64"/>
      <c r="J394" s="38" t="s">
        <v>256</v>
      </c>
      <c r="K394" s="37"/>
      <c r="L394" s="4" t="s">
        <v>423</v>
      </c>
      <c r="M394" s="78" t="s">
        <v>867</v>
      </c>
      <c r="N394" s="78"/>
      <c r="O394" s="16" t="s">
        <v>82</v>
      </c>
      <c r="P394" s="12"/>
      <c r="Q394" s="16"/>
      <c r="R394" s="25"/>
      <c r="S394" s="25"/>
      <c r="T394" s="25"/>
      <c r="U394" s="25"/>
      <c r="V394" s="26"/>
      <c r="W394" s="25"/>
      <c r="X394" s="25"/>
      <c r="Y394" s="25"/>
      <c r="Z394" s="25"/>
      <c r="AA394" s="25"/>
      <c r="AB394" s="25"/>
      <c r="AC394" s="15"/>
      <c r="AD394" s="23"/>
      <c r="AE394" s="23"/>
      <c r="AF394" s="23"/>
      <c r="AG394" s="45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45"/>
      <c r="AV394" s="16"/>
      <c r="AW394" s="15"/>
      <c r="AX394" s="15"/>
      <c r="AY394" s="39">
        <v>51.94</v>
      </c>
      <c r="AZ394" s="39">
        <v>306.04000000000002</v>
      </c>
      <c r="BA394" s="39"/>
      <c r="BB394" s="15"/>
      <c r="BC394" s="15"/>
      <c r="BD394" s="39">
        <v>47.28</v>
      </c>
      <c r="BE394" s="39"/>
      <c r="BF394" s="15"/>
      <c r="BG394" s="39">
        <v>71.400000000000006</v>
      </c>
      <c r="BH394" s="39">
        <v>109.41</v>
      </c>
      <c r="BI394" s="39"/>
      <c r="BJ394" s="39">
        <v>106.62</v>
      </c>
      <c r="BK394" s="39"/>
      <c r="BL394" s="39">
        <v>4.99</v>
      </c>
      <c r="BM394" s="39"/>
      <c r="BN394" s="15"/>
      <c r="BO394" s="15"/>
      <c r="BP394" s="15"/>
      <c r="BQ394" s="39">
        <v>162.82</v>
      </c>
      <c r="BR394" s="39">
        <v>33.22</v>
      </c>
      <c r="BS394" s="15"/>
      <c r="BT394" s="39">
        <v>101.52</v>
      </c>
      <c r="BV394" s="39">
        <v>5.44</v>
      </c>
      <c r="BW394" s="39"/>
      <c r="BX394" s="15"/>
      <c r="BY394" s="15"/>
      <c r="BZ394" s="39">
        <v>0.01</v>
      </c>
      <c r="CA394" s="39">
        <v>31.15</v>
      </c>
      <c r="CB394" s="39">
        <v>5.83</v>
      </c>
      <c r="CC394" s="39">
        <v>15.89</v>
      </c>
      <c r="CD394" s="39">
        <v>2.2200000000000002</v>
      </c>
      <c r="CE394" s="39">
        <v>12.95</v>
      </c>
      <c r="CF394" s="39">
        <v>3.94</v>
      </c>
      <c r="CG394" s="39">
        <v>1.3</v>
      </c>
      <c r="CH394" s="39">
        <v>4.51</v>
      </c>
      <c r="CI394" s="39">
        <v>0.86</v>
      </c>
      <c r="CJ394" s="39">
        <v>5.15</v>
      </c>
      <c r="CK394" s="39">
        <v>1.0900000000000001</v>
      </c>
      <c r="CL394" s="39">
        <v>3.08</v>
      </c>
      <c r="CM394" s="39">
        <v>0.59</v>
      </c>
      <c r="CN394" s="39">
        <v>2.82</v>
      </c>
      <c r="CO394" s="39">
        <v>0.44</v>
      </c>
      <c r="CP394" s="39">
        <v>2.52</v>
      </c>
      <c r="CQ394" s="39">
        <v>0.56000000000000005</v>
      </c>
      <c r="CR394" s="39">
        <v>0.93</v>
      </c>
      <c r="CS394" s="39">
        <v>0.42</v>
      </c>
      <c r="CT394" s="39">
        <v>0.11</v>
      </c>
    </row>
    <row r="395" spans="1:98">
      <c r="A395" s="1" t="s">
        <v>289</v>
      </c>
      <c r="B395" s="4" t="s">
        <v>290</v>
      </c>
      <c r="C395" s="40" t="s">
        <v>690</v>
      </c>
      <c r="D395" s="63">
        <v>67.22</v>
      </c>
      <c r="E395" s="63">
        <v>2.93</v>
      </c>
      <c r="F395" s="1" t="s">
        <v>308</v>
      </c>
      <c r="G395" s="4"/>
      <c r="H395" s="4"/>
      <c r="J395" s="40" t="s">
        <v>256</v>
      </c>
      <c r="K395" s="40"/>
      <c r="L395" s="4" t="s">
        <v>423</v>
      </c>
      <c r="M395" s="78" t="s">
        <v>867</v>
      </c>
      <c r="N395" s="78"/>
      <c r="O395" s="4"/>
      <c r="P395" s="4"/>
      <c r="Q395" s="4"/>
      <c r="AD395" s="23"/>
      <c r="AE395" s="23"/>
      <c r="AF395" s="23"/>
      <c r="AG395" s="45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45"/>
      <c r="AV395" s="4"/>
      <c r="AY395" s="39">
        <v>37.53</v>
      </c>
      <c r="BR395" s="39">
        <v>33.659999999999997</v>
      </c>
      <c r="BS395" s="39"/>
      <c r="BT395" s="39">
        <v>114.56</v>
      </c>
      <c r="BV395" s="39">
        <v>6.09</v>
      </c>
      <c r="BW395" s="39"/>
      <c r="CA395" s="39">
        <v>34.729999999999997</v>
      </c>
      <c r="CB395" s="39">
        <v>4.08</v>
      </c>
      <c r="CC395" s="39">
        <v>16.29</v>
      </c>
      <c r="CD395" s="39">
        <v>2.44</v>
      </c>
      <c r="CE395" s="39">
        <v>13</v>
      </c>
      <c r="CF395" s="39">
        <v>4.12</v>
      </c>
      <c r="CG395" s="39">
        <v>1.45</v>
      </c>
      <c r="CH395" s="39">
        <v>5.0199999999999996</v>
      </c>
      <c r="CI395" s="39">
        <v>0.92</v>
      </c>
      <c r="CJ395" s="39">
        <v>5.77</v>
      </c>
      <c r="CK395" s="39">
        <v>1.2</v>
      </c>
      <c r="CL395" s="39">
        <v>3.41</v>
      </c>
      <c r="CM395" s="39">
        <v>0.52</v>
      </c>
      <c r="CN395" s="39">
        <v>3.13</v>
      </c>
      <c r="CO395" s="39">
        <v>0.48</v>
      </c>
      <c r="CP395" s="39">
        <v>3.08</v>
      </c>
      <c r="CQ395" s="39">
        <v>0.42</v>
      </c>
      <c r="CR395" s="39">
        <v>1.41</v>
      </c>
      <c r="CS395" s="39">
        <v>0.53</v>
      </c>
      <c r="CT395" s="39">
        <v>0.15</v>
      </c>
    </row>
    <row r="396" spans="1:98">
      <c r="A396" s="1" t="s">
        <v>289</v>
      </c>
      <c r="B396" s="4" t="s">
        <v>290</v>
      </c>
      <c r="C396" s="1" t="s">
        <v>599</v>
      </c>
      <c r="D396" s="63">
        <v>67.22</v>
      </c>
      <c r="E396" s="63">
        <v>2.93</v>
      </c>
      <c r="F396" s="1" t="s">
        <v>308</v>
      </c>
      <c r="G396" s="1" t="s">
        <v>235</v>
      </c>
      <c r="H396" s="1" t="s">
        <v>141</v>
      </c>
      <c r="I396" s="9">
        <v>911.1</v>
      </c>
      <c r="J396" s="38" t="s">
        <v>256</v>
      </c>
      <c r="L396" s="4" t="s">
        <v>426</v>
      </c>
      <c r="M396" s="78" t="s">
        <v>866</v>
      </c>
      <c r="N396" s="78"/>
      <c r="Q396" s="1" t="s">
        <v>312</v>
      </c>
      <c r="R396" s="4">
        <v>48.7</v>
      </c>
      <c r="S396" s="1">
        <v>1.71</v>
      </c>
      <c r="T396" s="1">
        <v>16.95</v>
      </c>
      <c r="U396" s="1">
        <v>8.02</v>
      </c>
      <c r="V396" s="1">
        <v>2.65</v>
      </c>
      <c r="W396" s="1">
        <v>0.09</v>
      </c>
      <c r="X396" s="1">
        <v>6.99</v>
      </c>
      <c r="Y396" s="1">
        <v>8.1</v>
      </c>
      <c r="Z396" s="1">
        <v>2.75</v>
      </c>
      <c r="AA396" s="1">
        <v>0.96</v>
      </c>
      <c r="AB396" s="1">
        <v>0.13</v>
      </c>
      <c r="AC396" s="9">
        <v>3.39</v>
      </c>
      <c r="AD396" s="23">
        <f>SUM(R396:AB396)+AC396</f>
        <v>100.43999999999998</v>
      </c>
      <c r="AE396" s="21">
        <f>V396+0.899*U396</f>
        <v>9.8599800000000002</v>
      </c>
      <c r="AF396" s="23">
        <f>(X396/40.3)/((X396/40.3)+(AE396/71.844))</f>
        <v>0.55826954826630393</v>
      </c>
      <c r="AH396" s="16">
        <f t="shared" ref="AH396:AR399" si="329">100*R396/SUM($R396:$AB396)</f>
        <v>50.180319422977853</v>
      </c>
      <c r="AI396" s="16">
        <f t="shared" si="329"/>
        <v>1.761978361669243</v>
      </c>
      <c r="AJ396" s="16">
        <f t="shared" si="329"/>
        <v>17.465224111282847</v>
      </c>
      <c r="AK396" s="16">
        <f t="shared" si="329"/>
        <v>8.2637815558990226</v>
      </c>
      <c r="AL396" s="16">
        <f t="shared" si="329"/>
        <v>2.7305512622359611</v>
      </c>
      <c r="AM396" s="16">
        <f t="shared" si="329"/>
        <v>9.2735703245749632E-2</v>
      </c>
      <c r="AN396" s="16">
        <f t="shared" si="329"/>
        <v>7.2024729520865547</v>
      </c>
      <c r="AO396" s="16">
        <f t="shared" si="329"/>
        <v>8.3462132921174668</v>
      </c>
      <c r="AP396" s="16">
        <f t="shared" si="329"/>
        <v>2.8335909325090163</v>
      </c>
      <c r="AQ396" s="16">
        <f t="shared" si="329"/>
        <v>0.98918083462132933</v>
      </c>
      <c r="AR396" s="16">
        <f t="shared" si="329"/>
        <v>0.13395157135497168</v>
      </c>
      <c r="AS396" s="16">
        <f>SUM(AH396:AR396)</f>
        <v>100.00000000000001</v>
      </c>
      <c r="AT396" s="16">
        <f>AL396+0.899*AK396</f>
        <v>10.159690880989181</v>
      </c>
      <c r="AV396" s="1" t="s">
        <v>428</v>
      </c>
      <c r="AY396" s="41"/>
      <c r="AZ396" s="41"/>
      <c r="BA396" s="41">
        <v>299</v>
      </c>
      <c r="BB396" s="41"/>
      <c r="BC396" s="41">
        <v>217</v>
      </c>
      <c r="BD396" s="41"/>
      <c r="BE396" s="41">
        <v>36</v>
      </c>
      <c r="BF396" s="41"/>
      <c r="BG396" s="41">
        <v>96</v>
      </c>
      <c r="BH396" s="41"/>
      <c r="BI396" s="41">
        <v>90</v>
      </c>
      <c r="BJ396" s="41"/>
      <c r="BK396" s="41">
        <v>93</v>
      </c>
      <c r="BL396" s="41"/>
      <c r="BM396" s="41"/>
      <c r="BN396" s="41">
        <v>10</v>
      </c>
      <c r="BO396" s="41"/>
      <c r="BP396" s="41"/>
      <c r="BQ396" s="41">
        <v>190</v>
      </c>
      <c r="BR396" s="41"/>
      <c r="BS396" s="41">
        <v>24</v>
      </c>
      <c r="BT396" s="41"/>
      <c r="BU396" s="41">
        <v>100</v>
      </c>
      <c r="BV396" s="41"/>
      <c r="BW396" s="41">
        <v>4</v>
      </c>
    </row>
    <row r="397" spans="1:98">
      <c r="A397" s="1" t="s">
        <v>289</v>
      </c>
      <c r="B397" s="4" t="s">
        <v>290</v>
      </c>
      <c r="C397" s="1" t="s">
        <v>600</v>
      </c>
      <c r="D397" s="63">
        <v>67.22</v>
      </c>
      <c r="E397" s="63">
        <v>2.93</v>
      </c>
      <c r="F397" s="1" t="s">
        <v>308</v>
      </c>
      <c r="G397" s="1" t="s">
        <v>229</v>
      </c>
      <c r="H397" s="1" t="s">
        <v>141</v>
      </c>
      <c r="I397" s="9">
        <v>917.5</v>
      </c>
      <c r="J397" s="38" t="s">
        <v>256</v>
      </c>
      <c r="L397" s="4" t="s">
        <v>426</v>
      </c>
      <c r="M397" s="78" t="s">
        <v>866</v>
      </c>
      <c r="N397" s="78"/>
      <c r="Q397" s="1" t="s">
        <v>312</v>
      </c>
      <c r="R397" s="4">
        <v>46.3</v>
      </c>
      <c r="S397" s="1">
        <v>1.89</v>
      </c>
      <c r="T397" s="1">
        <v>13.96</v>
      </c>
      <c r="U397" s="1">
        <v>9.1</v>
      </c>
      <c r="V397" s="1">
        <v>5.3</v>
      </c>
      <c r="W397" s="1">
        <v>0.17</v>
      </c>
      <c r="X397" s="1">
        <v>8.57</v>
      </c>
      <c r="Y397" s="1">
        <v>8.9</v>
      </c>
      <c r="Z397" s="1">
        <v>2.5</v>
      </c>
      <c r="AA397" s="1">
        <v>0.43</v>
      </c>
      <c r="AB397" s="1">
        <v>0.15</v>
      </c>
      <c r="AC397" s="9">
        <v>1.92</v>
      </c>
      <c r="AD397" s="23">
        <f>SUM(R397:AB397)+AC397</f>
        <v>99.190000000000012</v>
      </c>
      <c r="AE397" s="21">
        <f>V397+0.899*U397</f>
        <v>13.480899999999998</v>
      </c>
      <c r="AF397" s="23">
        <f>(X397/40.3)/((X397/40.3)+(AE397/71.844))</f>
        <v>0.53124411148788298</v>
      </c>
      <c r="AH397" s="16">
        <f t="shared" si="329"/>
        <v>47.599465405572111</v>
      </c>
      <c r="AI397" s="16">
        <f t="shared" si="329"/>
        <v>1.9430451321065074</v>
      </c>
      <c r="AJ397" s="16">
        <f t="shared" si="329"/>
        <v>14.351804256194097</v>
      </c>
      <c r="AK397" s="16">
        <f t="shared" si="329"/>
        <v>9.3554024879202213</v>
      </c>
      <c r="AL397" s="16">
        <f t="shared" si="329"/>
        <v>5.4487508995579308</v>
      </c>
      <c r="AM397" s="16">
        <f t="shared" si="329"/>
        <v>0.1747712552688393</v>
      </c>
      <c r="AN397" s="16">
        <f t="shared" si="329"/>
        <v>8.8105273979644281</v>
      </c>
      <c r="AO397" s="16">
        <f t="shared" si="329"/>
        <v>9.1497892464274688</v>
      </c>
      <c r="AP397" s="16">
        <f t="shared" si="329"/>
        <v>2.5701655186594015</v>
      </c>
      <c r="AQ397" s="16">
        <f t="shared" si="329"/>
        <v>0.44206846920941706</v>
      </c>
      <c r="AR397" s="16">
        <f t="shared" si="329"/>
        <v>0.15420993111956408</v>
      </c>
      <c r="AS397" s="16">
        <f>SUM(AH397:AR397)</f>
        <v>100</v>
      </c>
      <c r="AT397" s="16">
        <f>AL397+0.899*AK397</f>
        <v>13.859257736198209</v>
      </c>
      <c r="AV397" s="1" t="s">
        <v>428</v>
      </c>
      <c r="AY397" s="41"/>
      <c r="AZ397" s="41"/>
      <c r="BA397" s="41">
        <v>369</v>
      </c>
      <c r="BB397" s="41"/>
      <c r="BC397" s="41">
        <v>251</v>
      </c>
      <c r="BD397" s="41"/>
      <c r="BE397" s="41">
        <v>52</v>
      </c>
      <c r="BF397" s="41"/>
      <c r="BG397" s="41">
        <v>114</v>
      </c>
      <c r="BH397" s="41"/>
      <c r="BI397" s="41">
        <v>145</v>
      </c>
      <c r="BJ397" s="41"/>
      <c r="BK397" s="41">
        <v>101</v>
      </c>
      <c r="BL397" s="41"/>
      <c r="BM397" s="41"/>
      <c r="BN397" s="41">
        <v>7</v>
      </c>
      <c r="BO397" s="41"/>
      <c r="BP397" s="41"/>
      <c r="BQ397" s="41">
        <v>221</v>
      </c>
      <c r="BR397" s="41"/>
      <c r="BS397" s="41">
        <v>33</v>
      </c>
      <c r="BT397" s="41"/>
      <c r="BU397" s="41">
        <v>120</v>
      </c>
      <c r="BV397" s="41"/>
      <c r="BW397" s="41">
        <v>7</v>
      </c>
    </row>
    <row r="398" spans="1:98">
      <c r="A398" s="1" t="s">
        <v>289</v>
      </c>
      <c r="B398" s="4" t="s">
        <v>290</v>
      </c>
      <c r="C398" s="1" t="s">
        <v>601</v>
      </c>
      <c r="D398" s="63">
        <v>67.22</v>
      </c>
      <c r="E398" s="63">
        <v>2.93</v>
      </c>
      <c r="F398" s="1" t="s">
        <v>308</v>
      </c>
      <c r="G398" s="1" t="s">
        <v>160</v>
      </c>
      <c r="H398" s="1" t="s">
        <v>141</v>
      </c>
      <c r="I398" s="9">
        <v>919.5</v>
      </c>
      <c r="J398" s="38" t="s">
        <v>256</v>
      </c>
      <c r="L398" s="4" t="s">
        <v>426</v>
      </c>
      <c r="M398" s="78" t="s">
        <v>866</v>
      </c>
      <c r="N398" s="78"/>
      <c r="Q398" s="1" t="s">
        <v>312</v>
      </c>
      <c r="R398" s="4">
        <v>48.1</v>
      </c>
      <c r="S398" s="1">
        <v>1.68</v>
      </c>
      <c r="T398" s="1">
        <v>14.41</v>
      </c>
      <c r="U398" s="1">
        <v>5.84</v>
      </c>
      <c r="V398" s="1">
        <v>6.22</v>
      </c>
      <c r="W398" s="1">
        <v>0.18</v>
      </c>
      <c r="X398" s="1">
        <v>7.96</v>
      </c>
      <c r="Y398" s="1">
        <v>11.06</v>
      </c>
      <c r="Z398" s="1">
        <v>2.2799999999999998</v>
      </c>
      <c r="AA398" s="1">
        <v>0.1</v>
      </c>
      <c r="AB398" s="1">
        <v>0.16</v>
      </c>
      <c r="AC398" s="9">
        <v>1.65</v>
      </c>
      <c r="AD398" s="23">
        <f>SUM(R398:AB398)+AC398</f>
        <v>99.64</v>
      </c>
      <c r="AE398" s="21">
        <f>V398+0.899*U398</f>
        <v>11.47016</v>
      </c>
      <c r="AF398" s="23">
        <f>(X398/40.3)/((X398/40.3)+(AE398/71.844))</f>
        <v>0.55300651229930575</v>
      </c>
      <c r="AH398" s="16">
        <f t="shared" si="329"/>
        <v>49.086641494030005</v>
      </c>
      <c r="AI398" s="16">
        <f t="shared" si="329"/>
        <v>1.7144606592509442</v>
      </c>
      <c r="AJ398" s="16">
        <f t="shared" si="329"/>
        <v>14.705582202265537</v>
      </c>
      <c r="AK398" s="16">
        <f t="shared" si="329"/>
        <v>5.9597918154913767</v>
      </c>
      <c r="AL398" s="16">
        <f t="shared" si="329"/>
        <v>6.3475864884171855</v>
      </c>
      <c r="AM398" s="16">
        <f t="shared" si="329"/>
        <v>0.18369221349117257</v>
      </c>
      <c r="AN398" s="16">
        <f t="shared" si="329"/>
        <v>8.1232778854985206</v>
      </c>
      <c r="AO398" s="16">
        <f t="shared" si="329"/>
        <v>11.286866006735382</v>
      </c>
      <c r="AP398" s="16">
        <f t="shared" si="329"/>
        <v>2.3267680375548525</v>
      </c>
      <c r="AQ398" s="16">
        <f t="shared" si="329"/>
        <v>0.1020512297173181</v>
      </c>
      <c r="AR398" s="16">
        <f t="shared" si="329"/>
        <v>0.16328196754770896</v>
      </c>
      <c r="AS398" s="16">
        <f>SUM(AH398:AR398)</f>
        <v>99.999999999999986</v>
      </c>
      <c r="AT398" s="16">
        <f>AL398+0.899*AK398</f>
        <v>11.705439330543934</v>
      </c>
      <c r="AV398" s="1" t="s">
        <v>428</v>
      </c>
      <c r="AY398" s="41">
        <v>42.1</v>
      </c>
      <c r="AZ398" s="41"/>
      <c r="BA398" s="41">
        <v>340</v>
      </c>
      <c r="BB398" s="41"/>
      <c r="BC398" s="41">
        <v>244</v>
      </c>
      <c r="BD398" s="41"/>
      <c r="BE398" s="41">
        <v>48.3</v>
      </c>
      <c r="BF398" s="41"/>
      <c r="BG398" s="41">
        <v>104</v>
      </c>
      <c r="BH398" s="41"/>
      <c r="BI398" s="41">
        <v>143</v>
      </c>
      <c r="BJ398" s="41"/>
      <c r="BK398" s="41">
        <v>72</v>
      </c>
      <c r="BL398" s="41"/>
      <c r="BM398" s="41"/>
      <c r="BN398" s="41">
        <v>3</v>
      </c>
      <c r="BO398" s="41"/>
      <c r="BP398" s="41"/>
      <c r="BQ398" s="41">
        <v>213</v>
      </c>
      <c r="BR398" s="41"/>
      <c r="BS398" s="41">
        <v>29</v>
      </c>
      <c r="BT398" s="41"/>
      <c r="BU398" s="41">
        <v>99</v>
      </c>
      <c r="BV398" s="41"/>
      <c r="BW398" s="41">
        <v>4</v>
      </c>
      <c r="CB398" s="9">
        <v>6</v>
      </c>
      <c r="CC398" s="9">
        <v>16.3</v>
      </c>
      <c r="CE398" s="9">
        <v>12.4</v>
      </c>
      <c r="CF398" s="9">
        <v>3.76</v>
      </c>
      <c r="CG398" s="9">
        <v>1.38</v>
      </c>
      <c r="CI398" s="9">
        <v>0.85</v>
      </c>
      <c r="CN398" s="9">
        <v>2.89</v>
      </c>
      <c r="CO398" s="9">
        <v>0.39</v>
      </c>
      <c r="CP398" s="9">
        <v>2.5099999999999998</v>
      </c>
      <c r="CQ398" s="9">
        <v>0.55000000000000004</v>
      </c>
      <c r="CS398" s="9">
        <v>0.56000000000000005</v>
      </c>
    </row>
    <row r="399" spans="1:98">
      <c r="A399" s="1" t="s">
        <v>289</v>
      </c>
      <c r="B399" s="4" t="s">
        <v>290</v>
      </c>
      <c r="C399" s="1" t="s">
        <v>602</v>
      </c>
      <c r="D399" s="63">
        <v>67.22</v>
      </c>
      <c r="E399" s="63">
        <v>2.93</v>
      </c>
      <c r="F399" s="1" t="s">
        <v>308</v>
      </c>
      <c r="G399" s="1" t="s">
        <v>184</v>
      </c>
      <c r="H399" s="1" t="s">
        <v>141</v>
      </c>
      <c r="I399" s="9">
        <v>923.9</v>
      </c>
      <c r="J399" s="38" t="s">
        <v>256</v>
      </c>
      <c r="L399" s="4" t="s">
        <v>426</v>
      </c>
      <c r="M399" s="78" t="s">
        <v>866</v>
      </c>
      <c r="N399" s="78"/>
      <c r="Q399" s="1" t="s">
        <v>312</v>
      </c>
      <c r="R399" s="4">
        <v>47.4</v>
      </c>
      <c r="S399" s="1">
        <v>1.65</v>
      </c>
      <c r="T399" s="1">
        <v>14.78</v>
      </c>
      <c r="U399" s="1">
        <v>6.03</v>
      </c>
      <c r="V399" s="1">
        <v>5.1100000000000003</v>
      </c>
      <c r="W399" s="1">
        <v>0.36</v>
      </c>
      <c r="X399" s="1">
        <v>8.84</v>
      </c>
      <c r="Y399" s="1">
        <v>9.5</v>
      </c>
      <c r="Z399" s="1">
        <v>2.44</v>
      </c>
      <c r="AA399" s="1">
        <v>0.14000000000000001</v>
      </c>
      <c r="AB399" s="1">
        <v>0.15</v>
      </c>
      <c r="AC399" s="9">
        <v>2.93</v>
      </c>
      <c r="AD399" s="23">
        <f>SUM(R399:AB399)+AC399</f>
        <v>99.330000000000013</v>
      </c>
      <c r="AE399" s="21">
        <f>V399+0.899*U399</f>
        <v>10.53097</v>
      </c>
      <c r="AF399" s="23">
        <f>(X399/40.3)/((X399/40.3)+(AE399/71.844))</f>
        <v>0.59943513814435678</v>
      </c>
      <c r="AH399" s="16">
        <f t="shared" si="329"/>
        <v>49.170124481327797</v>
      </c>
      <c r="AI399" s="16">
        <f t="shared" si="329"/>
        <v>1.7116182572614107</v>
      </c>
      <c r="AJ399" s="16">
        <f t="shared" si="329"/>
        <v>15.331950207468878</v>
      </c>
      <c r="AK399" s="16">
        <f t="shared" si="329"/>
        <v>6.2551867219917012</v>
      </c>
      <c r="AL399" s="16">
        <f t="shared" si="329"/>
        <v>5.3008298755186729</v>
      </c>
      <c r="AM399" s="16">
        <f t="shared" si="329"/>
        <v>0.37344398340248963</v>
      </c>
      <c r="AN399" s="16">
        <f t="shared" si="329"/>
        <v>9.1701244813278002</v>
      </c>
      <c r="AO399" s="16">
        <f t="shared" si="329"/>
        <v>9.8547717842323639</v>
      </c>
      <c r="AP399" s="16">
        <f t="shared" si="329"/>
        <v>2.5311203319502074</v>
      </c>
      <c r="AQ399" s="16">
        <f t="shared" si="329"/>
        <v>0.14522821576763487</v>
      </c>
      <c r="AR399" s="16">
        <f t="shared" si="329"/>
        <v>0.15560165975103735</v>
      </c>
      <c r="AS399" s="16">
        <f>SUM(AH399:AR399)</f>
        <v>100.00000000000001</v>
      </c>
      <c r="AT399" s="16">
        <f>AL399+0.899*AK399</f>
        <v>10.924242738589212</v>
      </c>
      <c r="AV399" s="1" t="s">
        <v>428</v>
      </c>
      <c r="AY399" s="41"/>
      <c r="AZ399" s="41"/>
      <c r="BA399" s="41">
        <v>334</v>
      </c>
      <c r="BB399" s="41"/>
      <c r="BC399" s="41">
        <v>235</v>
      </c>
      <c r="BD399" s="41"/>
      <c r="BE399" s="41">
        <v>49</v>
      </c>
      <c r="BF399" s="41"/>
      <c r="BG399" s="41">
        <v>112</v>
      </c>
      <c r="BH399" s="41"/>
      <c r="BI399" s="41">
        <v>210</v>
      </c>
      <c r="BJ399" s="41"/>
      <c r="BK399" s="41">
        <v>101</v>
      </c>
      <c r="BL399" s="41"/>
      <c r="BM399" s="41"/>
      <c r="BN399" s="41">
        <v>6</v>
      </c>
      <c r="BO399" s="41"/>
      <c r="BP399" s="41"/>
      <c r="BQ399" s="41">
        <v>170</v>
      </c>
      <c r="BR399" s="41"/>
      <c r="BS399" s="41">
        <v>24</v>
      </c>
      <c r="BT399" s="41"/>
      <c r="BU399" s="41">
        <v>97</v>
      </c>
      <c r="BV399" s="41"/>
      <c r="BW399" s="41">
        <v>7</v>
      </c>
      <c r="CB399" s="9">
        <v>5.9</v>
      </c>
      <c r="CC399" s="9">
        <v>17</v>
      </c>
      <c r="CE399" s="9">
        <v>13</v>
      </c>
      <c r="CF399" s="9">
        <v>4.09</v>
      </c>
      <c r="CG399" s="9">
        <v>1.53</v>
      </c>
      <c r="CI399" s="9">
        <v>0.84</v>
      </c>
      <c r="CN399" s="9">
        <v>2.69</v>
      </c>
      <c r="CO399" s="9">
        <v>0.4</v>
      </c>
      <c r="CP399" s="9">
        <v>2.79</v>
      </c>
      <c r="CQ399" s="9">
        <v>0.41</v>
      </c>
      <c r="CS399" s="9">
        <v>0.56000000000000005</v>
      </c>
      <c r="CT399" s="9">
        <v>0.17</v>
      </c>
    </row>
    <row r="400" spans="1:98">
      <c r="A400" s="1" t="s">
        <v>289</v>
      </c>
      <c r="B400" s="4" t="s">
        <v>290</v>
      </c>
      <c r="C400" s="40" t="s">
        <v>691</v>
      </c>
      <c r="D400" s="63">
        <v>67.22</v>
      </c>
      <c r="E400" s="63">
        <v>2.93</v>
      </c>
      <c r="F400" s="1" t="s">
        <v>308</v>
      </c>
      <c r="G400" s="4"/>
      <c r="H400" s="4"/>
      <c r="J400" s="40" t="s">
        <v>256</v>
      </c>
      <c r="K400" s="40"/>
      <c r="L400" s="4" t="s">
        <v>423</v>
      </c>
      <c r="M400" s="78" t="s">
        <v>867</v>
      </c>
      <c r="N400" s="78"/>
      <c r="O400" s="4"/>
      <c r="P400" s="4"/>
      <c r="Q400" s="4"/>
      <c r="AD400" s="23"/>
      <c r="AE400" s="23"/>
      <c r="AF400" s="23"/>
      <c r="AG400" s="45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45"/>
      <c r="AV400" s="4"/>
      <c r="AY400" s="39">
        <v>33.06</v>
      </c>
      <c r="BR400" s="39">
        <v>25.53</v>
      </c>
      <c r="BS400" s="39"/>
      <c r="BT400" s="39">
        <v>87.47</v>
      </c>
      <c r="BV400" s="39">
        <v>4.88</v>
      </c>
      <c r="BW400" s="39"/>
      <c r="CA400" s="39">
        <v>23.51</v>
      </c>
      <c r="CB400" s="39">
        <v>0.91</v>
      </c>
      <c r="CC400" s="39">
        <v>12.76</v>
      </c>
      <c r="CD400" s="39">
        <v>1.91</v>
      </c>
      <c r="CE400" s="39">
        <v>10.220000000000001</v>
      </c>
      <c r="CF400" s="39">
        <v>3.2</v>
      </c>
      <c r="CG400" s="39">
        <v>1.1599999999999999</v>
      </c>
      <c r="CH400" s="39">
        <v>3.9</v>
      </c>
      <c r="CI400" s="39">
        <v>0.71</v>
      </c>
      <c r="CJ400" s="39">
        <v>4.3899999999999997</v>
      </c>
      <c r="CK400" s="39">
        <v>0.9</v>
      </c>
      <c r="CL400" s="39">
        <v>2.52</v>
      </c>
      <c r="CM400" s="39">
        <v>0.38</v>
      </c>
      <c r="CN400" s="39">
        <v>2.2599999999999998</v>
      </c>
      <c r="CO400" s="39">
        <v>0.34</v>
      </c>
      <c r="CP400" s="39">
        <v>2.27</v>
      </c>
      <c r="CQ400" s="39">
        <v>0.32</v>
      </c>
      <c r="CR400" s="39">
        <v>1.52</v>
      </c>
      <c r="CS400" s="39">
        <v>0.28999999999999998</v>
      </c>
      <c r="CT400" s="39">
        <v>0.09</v>
      </c>
    </row>
    <row r="401" spans="1:98">
      <c r="A401" s="1" t="s">
        <v>289</v>
      </c>
      <c r="B401" s="4" t="s">
        <v>290</v>
      </c>
      <c r="C401" s="1" t="s">
        <v>603</v>
      </c>
      <c r="D401" s="63">
        <v>67.22</v>
      </c>
      <c r="E401" s="63">
        <v>2.93</v>
      </c>
      <c r="F401" s="1" t="s">
        <v>308</v>
      </c>
      <c r="G401" s="1" t="s">
        <v>149</v>
      </c>
      <c r="H401" s="1" t="s">
        <v>141</v>
      </c>
      <c r="I401" s="9">
        <v>935.4</v>
      </c>
      <c r="J401" s="38" t="s">
        <v>256</v>
      </c>
      <c r="L401" s="4" t="s">
        <v>426</v>
      </c>
      <c r="M401" s="78" t="s">
        <v>866</v>
      </c>
      <c r="N401" s="78"/>
      <c r="Q401" s="1" t="s">
        <v>312</v>
      </c>
      <c r="R401" s="4">
        <v>48.6</v>
      </c>
      <c r="S401" s="1">
        <v>2.08</v>
      </c>
      <c r="T401" s="1">
        <v>14.06</v>
      </c>
      <c r="U401" s="1">
        <v>5.69</v>
      </c>
      <c r="V401" s="1">
        <v>7.29</v>
      </c>
      <c r="W401" s="1">
        <v>0.21</v>
      </c>
      <c r="X401" s="1">
        <v>7</v>
      </c>
      <c r="Y401" s="1">
        <v>11.19</v>
      </c>
      <c r="Z401" s="1">
        <v>2.52</v>
      </c>
      <c r="AA401" s="1">
        <v>0.11</v>
      </c>
      <c r="AB401" s="1">
        <v>0.2</v>
      </c>
      <c r="AC401" s="9">
        <v>1.33</v>
      </c>
      <c r="AD401" s="23">
        <f>SUM(R401:AB401)+AC401</f>
        <v>100.27999999999999</v>
      </c>
      <c r="AE401" s="21">
        <f>V401+0.899*U401</f>
        <v>12.40531</v>
      </c>
      <c r="AF401" s="23">
        <f>(X401/40.3)/((X401/40.3)+(AE401/71.844))</f>
        <v>0.50148278942283986</v>
      </c>
      <c r="AH401" s="16">
        <f t="shared" ref="AH401:AR401" si="330">100*R401/SUM($R401:$AB401)</f>
        <v>49.115715007579588</v>
      </c>
      <c r="AI401" s="16">
        <f t="shared" si="330"/>
        <v>2.1020717534108138</v>
      </c>
      <c r="AJ401" s="16">
        <f t="shared" si="330"/>
        <v>14.209196563921173</v>
      </c>
      <c r="AK401" s="16">
        <f t="shared" si="330"/>
        <v>5.7503789792824662</v>
      </c>
      <c r="AL401" s="16">
        <f t="shared" si="330"/>
        <v>7.367357251136939</v>
      </c>
      <c r="AM401" s="16">
        <f t="shared" si="330"/>
        <v>0.21222839818089947</v>
      </c>
      <c r="AN401" s="16">
        <f t="shared" si="330"/>
        <v>7.0742799393633158</v>
      </c>
      <c r="AO401" s="16">
        <f t="shared" si="330"/>
        <v>11.308741788782214</v>
      </c>
      <c r="AP401" s="16">
        <f t="shared" si="330"/>
        <v>2.5467407781707938</v>
      </c>
      <c r="AQ401" s="16">
        <f t="shared" si="330"/>
        <v>0.11116725618999496</v>
      </c>
      <c r="AR401" s="16">
        <f t="shared" si="330"/>
        <v>0.20212228398180901</v>
      </c>
      <c r="AS401" s="16">
        <f>SUM(AH401:AR401)</f>
        <v>100.00000000000003</v>
      </c>
      <c r="AT401" s="16">
        <f>AL401+0.899*AK401</f>
        <v>12.536947953511877</v>
      </c>
      <c r="AV401" s="1" t="s">
        <v>428</v>
      </c>
      <c r="AY401" s="41">
        <v>44.9</v>
      </c>
      <c r="AZ401" s="41"/>
      <c r="BA401" s="41">
        <v>367</v>
      </c>
      <c r="BB401" s="41"/>
      <c r="BC401" s="41">
        <v>140</v>
      </c>
      <c r="BD401" s="41"/>
      <c r="BE401" s="41">
        <v>47.1</v>
      </c>
      <c r="BF401" s="41"/>
      <c r="BG401" s="41">
        <v>77</v>
      </c>
      <c r="BH401" s="41"/>
      <c r="BI401" s="41">
        <v>92</v>
      </c>
      <c r="BJ401" s="41"/>
      <c r="BK401" s="41">
        <v>106</v>
      </c>
      <c r="BL401" s="41"/>
      <c r="BM401" s="41"/>
      <c r="BN401" s="41">
        <v>3</v>
      </c>
      <c r="BO401" s="41"/>
      <c r="BP401" s="41"/>
      <c r="BQ401" s="41">
        <v>223</v>
      </c>
      <c r="BR401" s="41"/>
      <c r="BS401" s="41">
        <v>33</v>
      </c>
      <c r="BT401" s="41"/>
      <c r="BU401" s="41">
        <v>122</v>
      </c>
      <c r="BV401" s="41"/>
      <c r="BW401" s="41">
        <v>7</v>
      </c>
      <c r="CB401" s="9">
        <v>4.0999999999999996</v>
      </c>
      <c r="CC401" s="9">
        <v>11.8</v>
      </c>
      <c r="CE401" s="9">
        <v>9.5</v>
      </c>
      <c r="CF401" s="9">
        <v>2.93</v>
      </c>
      <c r="CG401" s="9">
        <v>1.19</v>
      </c>
      <c r="CI401" s="9">
        <v>0.64</v>
      </c>
      <c r="CN401" s="9">
        <v>2.15</v>
      </c>
      <c r="CO401" s="9">
        <v>0.31</v>
      </c>
      <c r="CP401" s="9">
        <v>1.88</v>
      </c>
      <c r="CQ401" s="9">
        <v>0.32</v>
      </c>
      <c r="CS401" s="9">
        <v>0.43</v>
      </c>
    </row>
    <row r="402" spans="1:98">
      <c r="A402" s="1" t="s">
        <v>289</v>
      </c>
      <c r="B402" s="4" t="s">
        <v>290</v>
      </c>
      <c r="C402" s="40" t="s">
        <v>692</v>
      </c>
      <c r="D402" s="63">
        <v>67.22</v>
      </c>
      <c r="E402" s="63">
        <v>2.93</v>
      </c>
      <c r="F402" s="1" t="s">
        <v>308</v>
      </c>
      <c r="G402" s="4"/>
      <c r="H402" s="4"/>
      <c r="J402" s="40" t="s">
        <v>256</v>
      </c>
      <c r="K402" s="40"/>
      <c r="L402" s="4" t="s">
        <v>423</v>
      </c>
      <c r="M402" s="78" t="s">
        <v>867</v>
      </c>
      <c r="N402" s="78"/>
      <c r="O402" s="4"/>
      <c r="P402" s="4"/>
      <c r="Q402" s="4"/>
      <c r="AD402" s="23"/>
      <c r="AE402" s="23"/>
      <c r="AF402" s="23"/>
      <c r="AG402" s="45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45"/>
      <c r="AV402" s="4"/>
      <c r="AY402" s="39">
        <v>37.07</v>
      </c>
      <c r="BR402" s="39">
        <v>35.6</v>
      </c>
      <c r="BS402" s="39"/>
      <c r="BT402" s="39">
        <v>114.71</v>
      </c>
      <c r="BV402" s="39">
        <v>8</v>
      </c>
      <c r="BW402" s="39"/>
      <c r="CA402" s="39">
        <v>42.64</v>
      </c>
      <c r="CB402" s="39">
        <v>5.59</v>
      </c>
      <c r="CC402" s="39">
        <v>20</v>
      </c>
      <c r="CD402" s="39">
        <v>2.93</v>
      </c>
      <c r="CE402" s="39">
        <v>15.35</v>
      </c>
      <c r="CF402" s="39">
        <v>4.67</v>
      </c>
      <c r="CG402" s="39">
        <v>1.65</v>
      </c>
      <c r="CH402" s="39">
        <v>5.63</v>
      </c>
      <c r="CI402" s="39">
        <v>1</v>
      </c>
      <c r="CJ402" s="39">
        <v>6.19</v>
      </c>
      <c r="CK402" s="39">
        <v>1.27</v>
      </c>
      <c r="CL402" s="39">
        <v>3.52</v>
      </c>
      <c r="CM402" s="39">
        <v>0.54</v>
      </c>
      <c r="CN402" s="39">
        <v>3.22</v>
      </c>
      <c r="CO402" s="39">
        <v>0.49</v>
      </c>
      <c r="CP402" s="39">
        <v>3.13</v>
      </c>
      <c r="CQ402" s="39">
        <v>0.54</v>
      </c>
      <c r="CR402" s="39">
        <v>2.75</v>
      </c>
      <c r="CS402" s="39">
        <v>0.47</v>
      </c>
      <c r="CT402" s="39">
        <v>0.16</v>
      </c>
    </row>
    <row r="403" spans="1:98">
      <c r="A403" s="1" t="s">
        <v>289</v>
      </c>
      <c r="B403" s="4" t="s">
        <v>290</v>
      </c>
      <c r="C403" s="1" t="s">
        <v>604</v>
      </c>
      <c r="D403" s="63">
        <v>67.22</v>
      </c>
      <c r="E403" s="63">
        <v>2.93</v>
      </c>
      <c r="F403" s="1" t="s">
        <v>308</v>
      </c>
      <c r="G403" s="1" t="s">
        <v>143</v>
      </c>
      <c r="H403" s="1" t="s">
        <v>141</v>
      </c>
      <c r="I403" s="9">
        <v>937.7</v>
      </c>
      <c r="J403" s="38" t="s">
        <v>256</v>
      </c>
      <c r="L403" s="4" t="s">
        <v>426</v>
      </c>
      <c r="M403" s="78" t="s">
        <v>866</v>
      </c>
      <c r="N403" s="78"/>
      <c r="Q403" s="1" t="s">
        <v>312</v>
      </c>
      <c r="R403" s="4">
        <v>48.1</v>
      </c>
      <c r="S403" s="1">
        <v>1.99</v>
      </c>
      <c r="T403" s="1">
        <v>14.46</v>
      </c>
      <c r="U403" s="1">
        <v>5.86</v>
      </c>
      <c r="V403" s="1">
        <v>6.24</v>
      </c>
      <c r="W403" s="1">
        <v>0.18</v>
      </c>
      <c r="X403" s="1">
        <v>7.06</v>
      </c>
      <c r="Y403" s="1">
        <v>11.21</v>
      </c>
      <c r="Z403" s="1">
        <v>2.39</v>
      </c>
      <c r="AA403" s="1">
        <v>0.1</v>
      </c>
      <c r="AB403" s="1">
        <v>0.19</v>
      </c>
      <c r="AC403" s="9">
        <v>1.38</v>
      </c>
      <c r="AD403" s="23">
        <f>SUM(R403:AB403)+AC403</f>
        <v>99.160000000000011</v>
      </c>
      <c r="AE403" s="21">
        <f>V403+0.899*U403</f>
        <v>11.508140000000001</v>
      </c>
      <c r="AF403" s="23">
        <f>(X403/40.3)/((X403/40.3)+(AE403/71.844))</f>
        <v>0.52236907643727659</v>
      </c>
      <c r="AH403" s="16">
        <f t="shared" ref="AH403:AR403" si="331">100*R403/SUM($R403:$AB403)</f>
        <v>49.192063816731434</v>
      </c>
      <c r="AI403" s="16">
        <f t="shared" si="331"/>
        <v>2.0351810186132129</v>
      </c>
      <c r="AJ403" s="16">
        <f t="shared" si="331"/>
        <v>14.788300265903045</v>
      </c>
      <c r="AK403" s="16">
        <f t="shared" si="331"/>
        <v>5.9930456125997127</v>
      </c>
      <c r="AL403" s="16">
        <f t="shared" si="331"/>
        <v>6.3816731437921854</v>
      </c>
      <c r="AM403" s="16">
        <f t="shared" si="331"/>
        <v>0.18408672530169767</v>
      </c>
      <c r="AN403" s="16">
        <f t="shared" si="331"/>
        <v>7.2202904479443637</v>
      </c>
      <c r="AO403" s="16">
        <f t="shared" si="331"/>
        <v>11.464512170177949</v>
      </c>
      <c r="AP403" s="16">
        <f t="shared" si="331"/>
        <v>2.4442626303947632</v>
      </c>
      <c r="AQ403" s="16">
        <f t="shared" si="331"/>
        <v>0.10227040294538758</v>
      </c>
      <c r="AR403" s="16">
        <f t="shared" si="331"/>
        <v>0.19431376559623642</v>
      </c>
      <c r="AS403" s="16">
        <f>SUM(AH403:AR403)</f>
        <v>100</v>
      </c>
      <c r="AT403" s="16">
        <f>AL403+0.899*AK403</f>
        <v>11.769421149519328</v>
      </c>
      <c r="AV403" s="1" t="s">
        <v>428</v>
      </c>
      <c r="AY403" s="41">
        <v>44.2</v>
      </c>
      <c r="AZ403" s="41"/>
      <c r="BA403" s="41">
        <v>359</v>
      </c>
      <c r="BB403" s="41"/>
      <c r="BC403" s="41">
        <v>218</v>
      </c>
      <c r="BD403" s="41"/>
      <c r="BE403" s="41">
        <v>47.1</v>
      </c>
      <c r="BF403" s="41"/>
      <c r="BG403" s="41">
        <v>91</v>
      </c>
      <c r="BH403" s="41"/>
      <c r="BI403" s="41">
        <v>149</v>
      </c>
      <c r="BJ403" s="41"/>
      <c r="BK403" s="41">
        <v>110</v>
      </c>
      <c r="BL403" s="41"/>
      <c r="BM403" s="41"/>
      <c r="BN403" s="41">
        <v>3</v>
      </c>
      <c r="BO403" s="41"/>
      <c r="BP403" s="41"/>
      <c r="BQ403" s="41">
        <v>221</v>
      </c>
      <c r="BR403" s="41"/>
      <c r="BS403" s="41">
        <v>31</v>
      </c>
      <c r="BT403" s="41"/>
      <c r="BU403" s="41">
        <v>117</v>
      </c>
      <c r="BV403" s="41"/>
      <c r="BW403" s="41">
        <v>6</v>
      </c>
      <c r="CB403" s="9">
        <v>6.8</v>
      </c>
      <c r="CC403" s="9">
        <v>18.3</v>
      </c>
      <c r="CE403" s="9">
        <v>13.5</v>
      </c>
      <c r="CF403" s="9">
        <v>4.42</v>
      </c>
      <c r="CG403" s="9">
        <v>1.57</v>
      </c>
      <c r="CI403" s="9">
        <v>0.97</v>
      </c>
      <c r="CN403" s="9">
        <v>3.18</v>
      </c>
      <c r="CO403" s="9">
        <v>0.45</v>
      </c>
      <c r="CP403" s="9">
        <v>2.95</v>
      </c>
      <c r="CQ403" s="9">
        <v>0.42</v>
      </c>
      <c r="CS403" s="9">
        <v>0.65</v>
      </c>
    </row>
    <row r="404" spans="1:98">
      <c r="A404" s="1" t="s">
        <v>289</v>
      </c>
      <c r="B404" s="4" t="s">
        <v>290</v>
      </c>
      <c r="C404" s="40" t="s">
        <v>693</v>
      </c>
      <c r="D404" s="63">
        <v>67.22</v>
      </c>
      <c r="E404" s="63">
        <v>2.93</v>
      </c>
      <c r="F404" s="1" t="s">
        <v>308</v>
      </c>
      <c r="G404" s="4"/>
      <c r="H404" s="4"/>
      <c r="J404" s="38" t="s">
        <v>256</v>
      </c>
      <c r="K404" s="40"/>
      <c r="L404" s="4" t="s">
        <v>423</v>
      </c>
      <c r="M404" s="78" t="s">
        <v>867</v>
      </c>
      <c r="N404" s="78"/>
      <c r="O404" s="4"/>
      <c r="P404" s="4"/>
      <c r="Q404" s="4"/>
      <c r="AD404" s="23"/>
      <c r="AE404" s="23"/>
      <c r="AF404" s="23"/>
      <c r="AG404" s="45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45"/>
      <c r="AV404" s="4"/>
      <c r="AY404" s="39">
        <v>38.619999999999997</v>
      </c>
      <c r="BR404" s="39">
        <v>31.85</v>
      </c>
      <c r="BS404" s="39"/>
      <c r="BT404" s="39">
        <v>138.1</v>
      </c>
      <c r="BV404" s="39">
        <v>7.52</v>
      </c>
      <c r="BW404" s="39"/>
      <c r="CA404" s="39">
        <v>42.53</v>
      </c>
      <c r="CB404" s="39">
        <v>6.78</v>
      </c>
      <c r="CC404" s="39">
        <v>17.77</v>
      </c>
      <c r="CD404" s="39">
        <v>3.09</v>
      </c>
      <c r="CE404" s="39">
        <v>14.75</v>
      </c>
      <c r="CF404" s="39">
        <v>4.47</v>
      </c>
      <c r="CG404" s="39">
        <v>1.61</v>
      </c>
      <c r="CH404" s="39">
        <v>5.43</v>
      </c>
      <c r="CI404" s="39">
        <v>0.98</v>
      </c>
      <c r="CJ404" s="39">
        <v>5.56</v>
      </c>
      <c r="CK404" s="39">
        <v>1.18</v>
      </c>
      <c r="CL404" s="39">
        <v>3.17</v>
      </c>
      <c r="CM404" s="39">
        <v>0.49</v>
      </c>
      <c r="CN404" s="39">
        <v>3.04</v>
      </c>
      <c r="CO404" s="39">
        <v>0.46</v>
      </c>
      <c r="CP404" s="39">
        <v>3.37</v>
      </c>
      <c r="CQ404" s="39">
        <v>0.45</v>
      </c>
      <c r="CR404" s="39">
        <v>1.25</v>
      </c>
      <c r="CS404" s="39"/>
      <c r="CT404" s="39">
        <v>0.14000000000000001</v>
      </c>
    </row>
    <row r="405" spans="1:98">
      <c r="A405" s="1" t="s">
        <v>289</v>
      </c>
      <c r="B405" s="4" t="s">
        <v>290</v>
      </c>
      <c r="C405" s="1" t="s">
        <v>605</v>
      </c>
      <c r="D405" s="63">
        <v>67.22</v>
      </c>
      <c r="E405" s="63">
        <v>2.93</v>
      </c>
      <c r="F405" s="1" t="s">
        <v>308</v>
      </c>
      <c r="G405" s="1" t="s">
        <v>199</v>
      </c>
      <c r="H405" s="1" t="s">
        <v>141</v>
      </c>
      <c r="I405" s="9">
        <v>944.3</v>
      </c>
      <c r="J405" s="38" t="s">
        <v>256</v>
      </c>
      <c r="L405" s="4" t="s">
        <v>426</v>
      </c>
      <c r="M405" s="78" t="s">
        <v>866</v>
      </c>
      <c r="N405" s="78"/>
      <c r="Q405" s="1" t="s">
        <v>312</v>
      </c>
      <c r="R405" s="4">
        <v>48</v>
      </c>
      <c r="S405" s="1">
        <v>1.83</v>
      </c>
      <c r="T405" s="1">
        <v>14.63</v>
      </c>
      <c r="U405" s="1">
        <v>7.59</v>
      </c>
      <c r="V405" s="1">
        <v>4.62</v>
      </c>
      <c r="W405" s="1">
        <v>0.16</v>
      </c>
      <c r="X405" s="1">
        <v>8.93</v>
      </c>
      <c r="Y405" s="1">
        <v>9.39</v>
      </c>
      <c r="Z405" s="1">
        <v>2.63</v>
      </c>
      <c r="AA405" s="1">
        <v>0.18</v>
      </c>
      <c r="AB405" s="1">
        <v>0.16</v>
      </c>
      <c r="AC405" s="9">
        <v>2.76</v>
      </c>
      <c r="AD405" s="23">
        <f>SUM(R405:AB405)+AC405</f>
        <v>100.88</v>
      </c>
      <c r="AE405" s="21">
        <f>V405+0.899*U405</f>
        <v>11.44341</v>
      </c>
      <c r="AF405" s="23">
        <f>(X405/40.3)/((X405/40.3)+(AE405/71.844))</f>
        <v>0.58179538932634955</v>
      </c>
      <c r="AH405" s="16">
        <f t="shared" ref="AH405:AR407" si="332">100*R405/SUM($R405:$AB405)</f>
        <v>48.919690175295564</v>
      </c>
      <c r="AI405" s="16">
        <f t="shared" si="332"/>
        <v>1.8650631879331432</v>
      </c>
      <c r="AJ405" s="16">
        <f t="shared" si="332"/>
        <v>14.910313901345292</v>
      </c>
      <c r="AK405" s="16">
        <f t="shared" si="332"/>
        <v>7.7354260089686102</v>
      </c>
      <c r="AL405" s="16">
        <f t="shared" si="332"/>
        <v>4.708520179372198</v>
      </c>
      <c r="AM405" s="16">
        <f t="shared" si="332"/>
        <v>0.16306563391765186</v>
      </c>
      <c r="AN405" s="16">
        <f t="shared" si="332"/>
        <v>9.1011006930289451</v>
      </c>
      <c r="AO405" s="16">
        <f t="shared" si="332"/>
        <v>9.5699143905421948</v>
      </c>
      <c r="AP405" s="16">
        <f t="shared" si="332"/>
        <v>2.6803913575214025</v>
      </c>
      <c r="AQ405" s="16">
        <f t="shared" si="332"/>
        <v>0.18344883815735835</v>
      </c>
      <c r="AR405" s="16">
        <f t="shared" si="332"/>
        <v>0.16306563391765186</v>
      </c>
      <c r="AS405" s="16">
        <f>SUM(AH405:AR405)</f>
        <v>100.00000000000003</v>
      </c>
      <c r="AT405" s="16">
        <f>AL405+0.899*AK405</f>
        <v>11.662668161434979</v>
      </c>
      <c r="AV405" s="1" t="s">
        <v>428</v>
      </c>
      <c r="AY405" s="41"/>
      <c r="AZ405" s="41"/>
      <c r="BA405" s="41">
        <v>342</v>
      </c>
      <c r="BB405" s="41"/>
      <c r="BC405" s="41">
        <v>258</v>
      </c>
      <c r="BD405" s="41"/>
      <c r="BE405" s="41">
        <v>50</v>
      </c>
      <c r="BF405" s="41"/>
      <c r="BG405" s="41">
        <v>134</v>
      </c>
      <c r="BH405" s="41"/>
      <c r="BI405" s="41">
        <v>116</v>
      </c>
      <c r="BJ405" s="41"/>
      <c r="BK405" s="41">
        <v>115</v>
      </c>
      <c r="BL405" s="41"/>
      <c r="BM405" s="41"/>
      <c r="BN405" s="41">
        <v>2</v>
      </c>
      <c r="BO405" s="41"/>
      <c r="BP405" s="41"/>
      <c r="BQ405" s="41">
        <v>174</v>
      </c>
      <c r="BR405" s="41"/>
      <c r="BS405" s="41">
        <v>27</v>
      </c>
      <c r="BT405" s="41"/>
      <c r="BU405" s="41">
        <v>106</v>
      </c>
      <c r="BV405" s="41"/>
      <c r="BW405" s="41">
        <v>6</v>
      </c>
    </row>
    <row r="406" spans="1:98">
      <c r="A406" s="1" t="s">
        <v>289</v>
      </c>
      <c r="B406" s="4" t="s">
        <v>290</v>
      </c>
      <c r="C406" s="1" t="s">
        <v>606</v>
      </c>
      <c r="D406" s="63">
        <v>67.22</v>
      </c>
      <c r="E406" s="63">
        <v>2.93</v>
      </c>
      <c r="F406" s="1" t="s">
        <v>308</v>
      </c>
      <c r="G406" s="1" t="s">
        <v>202</v>
      </c>
      <c r="H406" s="1" t="s">
        <v>141</v>
      </c>
      <c r="I406" s="9">
        <v>957</v>
      </c>
      <c r="J406" s="38" t="s">
        <v>256</v>
      </c>
      <c r="L406" s="4" t="s">
        <v>426</v>
      </c>
      <c r="M406" s="78" t="s">
        <v>866</v>
      </c>
      <c r="N406" s="78"/>
      <c r="Q406" s="1" t="s">
        <v>312</v>
      </c>
      <c r="R406" s="4">
        <v>47.6</v>
      </c>
      <c r="S406" s="1">
        <v>1.75</v>
      </c>
      <c r="T406" s="1">
        <v>14.36</v>
      </c>
      <c r="U406" s="1">
        <v>5.41</v>
      </c>
      <c r="V406" s="1">
        <v>6.64</v>
      </c>
      <c r="W406" s="1">
        <v>0.17</v>
      </c>
      <c r="X406" s="1">
        <v>8.9600000000000009</v>
      </c>
      <c r="Y406" s="1">
        <v>9.08</v>
      </c>
      <c r="Z406" s="1">
        <v>2.5099999999999998</v>
      </c>
      <c r="AA406" s="1">
        <v>0.21</v>
      </c>
      <c r="AB406" s="1">
        <v>0.17</v>
      </c>
      <c r="AC406" s="9">
        <v>2.5099999999999998</v>
      </c>
      <c r="AD406" s="23">
        <f>SUM(R406:AB406)+AC406</f>
        <v>99.370000000000019</v>
      </c>
      <c r="AE406" s="21">
        <f>V406+0.899*U406</f>
        <v>11.503589999999999</v>
      </c>
      <c r="AF406" s="23">
        <f>(X406/40.3)/((X406/40.3)+(AE406/71.844))</f>
        <v>0.58133514454380908</v>
      </c>
      <c r="AH406" s="16">
        <f t="shared" si="332"/>
        <v>49.14309312409663</v>
      </c>
      <c r="AI406" s="16">
        <f t="shared" si="332"/>
        <v>1.8067313648564935</v>
      </c>
      <c r="AJ406" s="16">
        <f t="shared" si="332"/>
        <v>14.825521371051</v>
      </c>
      <c r="AK406" s="16">
        <f t="shared" si="332"/>
        <v>5.5853809622135033</v>
      </c>
      <c r="AL406" s="16">
        <f t="shared" si="332"/>
        <v>6.8552550072269245</v>
      </c>
      <c r="AM406" s="16">
        <f t="shared" si="332"/>
        <v>0.17551104687177366</v>
      </c>
      <c r="AN406" s="16">
        <f t="shared" si="332"/>
        <v>9.250464588065249</v>
      </c>
      <c r="AO406" s="16">
        <f t="shared" si="332"/>
        <v>9.3743547387982638</v>
      </c>
      <c r="AP406" s="16">
        <f t="shared" si="332"/>
        <v>2.5913689861655991</v>
      </c>
      <c r="AQ406" s="16">
        <f t="shared" si="332"/>
        <v>0.21680776378277924</v>
      </c>
      <c r="AR406" s="16">
        <f t="shared" si="332"/>
        <v>0.17551104687177366</v>
      </c>
      <c r="AS406" s="16">
        <f>SUM(AH406:AR406)</f>
        <v>100.00000000000001</v>
      </c>
      <c r="AT406" s="16">
        <f>AL406+0.899*AK406</f>
        <v>11.876512492256865</v>
      </c>
      <c r="AV406" s="1" t="s">
        <v>428</v>
      </c>
      <c r="AY406" s="41"/>
      <c r="AZ406" s="41"/>
      <c r="BA406" s="41">
        <v>336</v>
      </c>
      <c r="BB406" s="41"/>
      <c r="BC406" s="41">
        <v>226</v>
      </c>
      <c r="BD406" s="41"/>
      <c r="BE406" s="41">
        <v>46</v>
      </c>
      <c r="BF406" s="41"/>
      <c r="BG406" s="41">
        <v>114</v>
      </c>
      <c r="BH406" s="41"/>
      <c r="BI406" s="41">
        <v>122</v>
      </c>
      <c r="BJ406" s="41"/>
      <c r="BK406" s="41">
        <v>121</v>
      </c>
      <c r="BL406" s="41"/>
      <c r="BM406" s="41"/>
      <c r="BN406" s="41">
        <v>3</v>
      </c>
      <c r="BO406" s="41"/>
      <c r="BP406" s="41"/>
      <c r="BQ406" s="41">
        <v>198</v>
      </c>
      <c r="BR406" s="41"/>
      <c r="BS406" s="41">
        <v>28</v>
      </c>
      <c r="BT406" s="41"/>
      <c r="BU406" s="41">
        <v>101</v>
      </c>
      <c r="BV406" s="41"/>
      <c r="BW406" s="41">
        <v>6</v>
      </c>
    </row>
    <row r="407" spans="1:98">
      <c r="A407" s="1" t="s">
        <v>289</v>
      </c>
      <c r="B407" s="4" t="s">
        <v>290</v>
      </c>
      <c r="C407" s="1" t="s">
        <v>607</v>
      </c>
      <c r="D407" s="63">
        <v>67.22</v>
      </c>
      <c r="E407" s="63">
        <v>2.93</v>
      </c>
      <c r="F407" s="1" t="s">
        <v>308</v>
      </c>
      <c r="G407" s="1" t="s">
        <v>142</v>
      </c>
      <c r="H407" s="1" t="s">
        <v>141</v>
      </c>
      <c r="I407" s="9">
        <v>964.2</v>
      </c>
      <c r="J407" s="38" t="s">
        <v>256</v>
      </c>
      <c r="L407" s="4" t="s">
        <v>426</v>
      </c>
      <c r="M407" s="78" t="s">
        <v>866</v>
      </c>
      <c r="N407" s="78"/>
      <c r="Q407" s="1" t="s">
        <v>312</v>
      </c>
      <c r="R407" s="4">
        <v>48.7</v>
      </c>
      <c r="S407" s="1">
        <v>1.71</v>
      </c>
      <c r="T407" s="1">
        <v>15.15</v>
      </c>
      <c r="U407" s="1">
        <v>4.79</v>
      </c>
      <c r="V407" s="1">
        <v>6.17</v>
      </c>
      <c r="W407" s="1">
        <v>0.26</v>
      </c>
      <c r="X407" s="1">
        <v>7.29</v>
      </c>
      <c r="Y407" s="1">
        <v>12.02</v>
      </c>
      <c r="Z407" s="1">
        <v>2.23</v>
      </c>
      <c r="AA407" s="1">
        <v>0.08</v>
      </c>
      <c r="AB407" s="1">
        <v>0.16</v>
      </c>
      <c r="AC407" s="9">
        <v>1.54</v>
      </c>
      <c r="AD407" s="23">
        <f>SUM(R407:AB407)+AC407</f>
        <v>100.10000000000002</v>
      </c>
      <c r="AE407" s="21">
        <f>V407+0.899*U407</f>
        <v>10.47621</v>
      </c>
      <c r="AF407" s="23">
        <f>(X407/40.3)/((X407/40.3)+(AE407/71.844))</f>
        <v>0.55367789641286647</v>
      </c>
      <c r="AH407" s="16">
        <f t="shared" si="332"/>
        <v>49.411525974025963</v>
      </c>
      <c r="AI407" s="16">
        <f t="shared" si="332"/>
        <v>1.7349837662337659</v>
      </c>
      <c r="AJ407" s="16">
        <f t="shared" si="332"/>
        <v>15.371347402597401</v>
      </c>
      <c r="AK407" s="16">
        <f t="shared" si="332"/>
        <v>4.859983766233765</v>
      </c>
      <c r="AL407" s="16">
        <f t="shared" si="332"/>
        <v>6.260146103896103</v>
      </c>
      <c r="AM407" s="16">
        <f t="shared" si="332"/>
        <v>0.26379870129870125</v>
      </c>
      <c r="AN407" s="16">
        <f t="shared" si="332"/>
        <v>7.3965097402597388</v>
      </c>
      <c r="AO407" s="16">
        <f t="shared" si="332"/>
        <v>12.19561688311688</v>
      </c>
      <c r="AP407" s="16">
        <f t="shared" si="332"/>
        <v>2.2625811688311686</v>
      </c>
      <c r="AQ407" s="16">
        <f t="shared" si="332"/>
        <v>8.1168831168831154E-2</v>
      </c>
      <c r="AR407" s="16">
        <f t="shared" si="332"/>
        <v>0.16233766233766231</v>
      </c>
      <c r="AS407" s="16">
        <f>SUM(AH407:AR407)</f>
        <v>100</v>
      </c>
      <c r="AT407" s="16">
        <f>AL407+0.899*AK407</f>
        <v>10.629271509740258</v>
      </c>
      <c r="AV407" s="1" t="s">
        <v>428</v>
      </c>
      <c r="AY407" s="41">
        <v>44.3</v>
      </c>
      <c r="AZ407" s="41"/>
      <c r="BA407" s="41">
        <v>339</v>
      </c>
      <c r="BB407" s="41"/>
      <c r="BC407" s="41">
        <v>293</v>
      </c>
      <c r="BD407" s="41"/>
      <c r="BE407" s="41">
        <v>45.8</v>
      </c>
      <c r="BF407" s="41"/>
      <c r="BG407" s="41">
        <v>81</v>
      </c>
      <c r="BH407" s="41"/>
      <c r="BI407" s="41">
        <v>176</v>
      </c>
      <c r="BJ407" s="41"/>
      <c r="BK407" s="41">
        <v>90</v>
      </c>
      <c r="BL407" s="41"/>
      <c r="BM407" s="41"/>
      <c r="BN407" s="41">
        <v>3</v>
      </c>
      <c r="BO407" s="41"/>
      <c r="BP407" s="41"/>
      <c r="BQ407" s="41">
        <v>211</v>
      </c>
      <c r="BR407" s="41"/>
      <c r="BS407" s="41">
        <v>32</v>
      </c>
      <c r="BT407" s="41"/>
      <c r="BU407" s="41">
        <v>101</v>
      </c>
      <c r="BV407" s="41"/>
      <c r="BW407" s="41">
        <v>5</v>
      </c>
      <c r="CB407" s="9">
        <v>6.9</v>
      </c>
      <c r="CC407" s="9">
        <v>19.7</v>
      </c>
      <c r="CE407" s="9">
        <v>14.7</v>
      </c>
      <c r="CF407" s="9">
        <v>4.54</v>
      </c>
      <c r="CG407" s="9">
        <v>1.66</v>
      </c>
      <c r="CI407" s="9">
        <v>0.96</v>
      </c>
      <c r="CN407" s="9">
        <v>3.04</v>
      </c>
      <c r="CO407" s="9">
        <v>0.44</v>
      </c>
      <c r="CP407" s="9">
        <v>3.16</v>
      </c>
      <c r="CQ407" s="9">
        <v>0.47</v>
      </c>
      <c r="CS407" s="9">
        <v>0.69</v>
      </c>
    </row>
    <row r="408" spans="1:98">
      <c r="A408" s="1" t="s">
        <v>289</v>
      </c>
      <c r="B408" s="4" t="s">
        <v>290</v>
      </c>
      <c r="C408" s="40" t="s">
        <v>694</v>
      </c>
      <c r="D408" s="63">
        <v>67.22</v>
      </c>
      <c r="E408" s="63">
        <v>2.93</v>
      </c>
      <c r="F408" s="1" t="s">
        <v>308</v>
      </c>
      <c r="G408" s="4"/>
      <c r="H408" s="4"/>
      <c r="J408" s="40" t="s">
        <v>256</v>
      </c>
      <c r="K408" s="40"/>
      <c r="L408" s="4" t="s">
        <v>423</v>
      </c>
      <c r="M408" s="78" t="s">
        <v>867</v>
      </c>
      <c r="N408" s="78"/>
      <c r="O408" s="4"/>
      <c r="P408" s="4"/>
      <c r="Q408" s="4"/>
      <c r="AD408" s="23"/>
      <c r="AE408" s="23"/>
      <c r="AF408" s="23"/>
      <c r="AG408" s="45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45"/>
      <c r="AV408" s="4"/>
      <c r="AY408" s="39">
        <v>36.880000000000003</v>
      </c>
      <c r="BR408" s="39">
        <v>34.549999999999997</v>
      </c>
      <c r="BS408" s="39"/>
      <c r="BT408" s="39">
        <v>101.04</v>
      </c>
      <c r="BV408" s="39">
        <v>6.17</v>
      </c>
      <c r="BW408" s="39"/>
      <c r="CA408" s="39">
        <v>22.81</v>
      </c>
      <c r="CB408" s="39">
        <v>4.68</v>
      </c>
      <c r="CC408" s="39">
        <v>15.79</v>
      </c>
      <c r="CD408" s="39">
        <v>2.38</v>
      </c>
      <c r="CE408" s="39">
        <v>12.74</v>
      </c>
      <c r="CF408" s="39">
        <v>4.0199999999999996</v>
      </c>
      <c r="CG408" s="39">
        <v>1.46</v>
      </c>
      <c r="CH408" s="39">
        <v>5.05</v>
      </c>
      <c r="CI408" s="39">
        <v>0.92</v>
      </c>
      <c r="CJ408" s="39">
        <v>5.81</v>
      </c>
      <c r="CK408" s="39">
        <v>1.21</v>
      </c>
      <c r="CL408" s="39">
        <v>3.39</v>
      </c>
      <c r="CM408" s="39">
        <v>0.51</v>
      </c>
      <c r="CN408" s="39">
        <v>2.96</v>
      </c>
      <c r="CO408" s="39">
        <v>0.45</v>
      </c>
      <c r="CP408" s="39">
        <v>2.82</v>
      </c>
      <c r="CQ408" s="39">
        <v>0.43</v>
      </c>
      <c r="CR408" s="39">
        <v>1.1599999999999999</v>
      </c>
      <c r="CS408" s="39">
        <v>0.39</v>
      </c>
      <c r="CT408" s="39">
        <v>0.12</v>
      </c>
    </row>
    <row r="409" spans="1:98">
      <c r="A409" s="1" t="s">
        <v>289</v>
      </c>
      <c r="B409" s="4" t="s">
        <v>290</v>
      </c>
      <c r="C409" s="40" t="s">
        <v>87</v>
      </c>
      <c r="D409" s="63">
        <v>67.22</v>
      </c>
      <c r="E409" s="63">
        <v>2.93</v>
      </c>
      <c r="F409" s="1" t="s">
        <v>308</v>
      </c>
      <c r="G409" s="4"/>
      <c r="H409" s="4"/>
      <c r="J409" s="40" t="s">
        <v>256</v>
      </c>
      <c r="K409" s="40"/>
      <c r="L409" s="4" t="s">
        <v>423</v>
      </c>
      <c r="M409" s="78" t="s">
        <v>867</v>
      </c>
      <c r="N409" s="78"/>
      <c r="O409" s="40"/>
      <c r="P409" s="4"/>
      <c r="Q409" s="4"/>
      <c r="R409" s="4">
        <v>49.19</v>
      </c>
      <c r="S409" s="4">
        <v>1.81</v>
      </c>
      <c r="T409" s="4">
        <v>15.09</v>
      </c>
      <c r="U409" s="4">
        <v>12.52</v>
      </c>
      <c r="W409" s="4">
        <v>0.37</v>
      </c>
      <c r="X409" s="4">
        <v>6.35</v>
      </c>
      <c r="Y409" s="4">
        <v>12.02</v>
      </c>
      <c r="Z409" s="4">
        <v>2.38</v>
      </c>
      <c r="AA409" s="4">
        <v>0.14000000000000001</v>
      </c>
      <c r="AB409" s="4">
        <v>0.14000000000000001</v>
      </c>
      <c r="AD409" s="23">
        <f>SUM(R409:AB409)+AC409</f>
        <v>100.00999999999999</v>
      </c>
      <c r="AE409" s="21">
        <f>V409+0.899*U409</f>
        <v>11.25548</v>
      </c>
      <c r="AF409" s="23">
        <f>(X409/40.3)/((X409/40.3)+(AE409/71.844))</f>
        <v>0.50143632717949027</v>
      </c>
      <c r="AG409" s="45"/>
      <c r="AH409" s="16">
        <f t="shared" ref="AH409:AR409" si="333">100*R409/SUM($R409:$AB409)</f>
        <v>49.185081491850816</v>
      </c>
      <c r="AI409" s="16">
        <f t="shared" si="333"/>
        <v>1.8098190180981903</v>
      </c>
      <c r="AJ409" s="16">
        <f t="shared" si="333"/>
        <v>15.088491150884913</v>
      </c>
      <c r="AK409" s="16">
        <f t="shared" si="333"/>
        <v>12.518748125187482</v>
      </c>
      <c r="AL409" s="16">
        <f t="shared" si="333"/>
        <v>0</v>
      </c>
      <c r="AM409" s="16">
        <f t="shared" si="333"/>
        <v>0.36996300369963009</v>
      </c>
      <c r="AN409" s="16">
        <f t="shared" si="333"/>
        <v>6.3493650634936509</v>
      </c>
      <c r="AO409" s="16">
        <f t="shared" si="333"/>
        <v>12.018798120187983</v>
      </c>
      <c r="AP409" s="16">
        <f t="shared" si="333"/>
        <v>2.3797620237976203</v>
      </c>
      <c r="AQ409" s="16">
        <f t="shared" si="333"/>
        <v>0.13998600139986003</v>
      </c>
      <c r="AR409" s="16">
        <f t="shared" si="333"/>
        <v>0.13998600139986003</v>
      </c>
      <c r="AS409" s="16">
        <f>SUM(AH409:AR409)</f>
        <v>100</v>
      </c>
      <c r="AT409" s="16">
        <f>AL409+0.899*AK409</f>
        <v>11.254354564543547</v>
      </c>
      <c r="AU409" s="45"/>
      <c r="AV409" s="4"/>
      <c r="AY409" s="39">
        <v>44.93</v>
      </c>
      <c r="BR409" s="39">
        <v>31.96</v>
      </c>
      <c r="BS409" s="39"/>
      <c r="BT409" s="39">
        <v>140.83000000000001</v>
      </c>
      <c r="BV409" s="39">
        <v>6.8</v>
      </c>
      <c r="BW409" s="39"/>
      <c r="CA409" s="39">
        <v>20.71</v>
      </c>
      <c r="CB409" s="39">
        <v>41.34</v>
      </c>
      <c r="CC409" s="39">
        <v>16.09</v>
      </c>
      <c r="CD409" s="39">
        <v>2.42</v>
      </c>
      <c r="CE409" s="39">
        <v>12.58</v>
      </c>
      <c r="CF409" s="39">
        <v>3.95</v>
      </c>
      <c r="CG409" s="39">
        <v>1.41</v>
      </c>
      <c r="CH409" s="39">
        <v>4.6100000000000003</v>
      </c>
      <c r="CI409" s="39">
        <v>0.86</v>
      </c>
      <c r="CJ409" s="39">
        <v>5.39</v>
      </c>
      <c r="CK409" s="39">
        <v>1.1000000000000001</v>
      </c>
      <c r="CL409" s="39">
        <v>3.16</v>
      </c>
      <c r="CM409" s="39">
        <v>0.48</v>
      </c>
      <c r="CN409" s="39">
        <v>2.79</v>
      </c>
      <c r="CO409" s="39">
        <v>0.42</v>
      </c>
      <c r="CP409" s="39">
        <v>3.37</v>
      </c>
      <c r="CQ409" s="39">
        <v>0.36</v>
      </c>
      <c r="CR409" s="39">
        <v>0.1</v>
      </c>
      <c r="CS409" s="39">
        <v>0.46</v>
      </c>
      <c r="CT409" s="39">
        <v>0.14000000000000001</v>
      </c>
    </row>
    <row r="410" spans="1:98">
      <c r="A410" s="1" t="s">
        <v>289</v>
      </c>
      <c r="B410" s="4" t="s">
        <v>290</v>
      </c>
      <c r="C410" s="40" t="s">
        <v>87</v>
      </c>
      <c r="D410" s="63">
        <v>67.22</v>
      </c>
      <c r="E410" s="63">
        <v>2.93</v>
      </c>
      <c r="F410" s="1" t="s">
        <v>308</v>
      </c>
      <c r="G410" s="4"/>
      <c r="H410" s="4"/>
      <c r="J410" s="38" t="s">
        <v>256</v>
      </c>
      <c r="K410" s="40"/>
      <c r="L410" s="4" t="s">
        <v>423</v>
      </c>
      <c r="M410" s="78" t="s">
        <v>867</v>
      </c>
      <c r="N410" s="78"/>
      <c r="O410" s="4"/>
      <c r="P410" s="4"/>
      <c r="Q410" s="4"/>
      <c r="AD410" s="23"/>
      <c r="AE410" s="23"/>
      <c r="AF410" s="23"/>
      <c r="AG410" s="45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45"/>
      <c r="AV410" s="4"/>
      <c r="AY410" s="39"/>
      <c r="BR410" s="39">
        <v>31.2</v>
      </c>
      <c r="BS410" s="39"/>
      <c r="BT410" s="39">
        <v>115.79</v>
      </c>
      <c r="BV410" s="39">
        <v>6.57</v>
      </c>
      <c r="BW410" s="39"/>
      <c r="CA410" s="39">
        <v>16.53</v>
      </c>
      <c r="CB410" s="39">
        <v>5.9</v>
      </c>
      <c r="CC410" s="39">
        <v>16.57</v>
      </c>
      <c r="CD410" s="39">
        <v>2.5</v>
      </c>
      <c r="CE410" s="39">
        <v>13.24</v>
      </c>
      <c r="CF410" s="39">
        <v>4.1100000000000003</v>
      </c>
      <c r="CG410" s="39">
        <v>1.46</v>
      </c>
      <c r="CH410" s="39">
        <v>4.8600000000000003</v>
      </c>
      <c r="CI410" s="39">
        <v>0.91</v>
      </c>
      <c r="CJ410" s="39">
        <v>5.67</v>
      </c>
      <c r="CK410" s="39">
        <v>1.19</v>
      </c>
      <c r="CL410" s="39">
        <v>3.37</v>
      </c>
      <c r="CM410" s="39">
        <v>0.51</v>
      </c>
      <c r="CN410" s="39">
        <v>2.98</v>
      </c>
      <c r="CO410" s="39">
        <v>0.43</v>
      </c>
      <c r="CP410" s="39">
        <v>3.05</v>
      </c>
      <c r="CQ410" s="39">
        <v>0.36</v>
      </c>
      <c r="CR410" s="39">
        <v>0.27</v>
      </c>
      <c r="CS410" s="39"/>
      <c r="CT410" s="39">
        <v>0.1</v>
      </c>
    </row>
    <row r="411" spans="1:98">
      <c r="A411" s="1" t="s">
        <v>289</v>
      </c>
      <c r="B411" s="4" t="s">
        <v>290</v>
      </c>
      <c r="C411" s="38" t="s">
        <v>87</v>
      </c>
      <c r="D411" s="63">
        <v>67.22</v>
      </c>
      <c r="E411" s="63">
        <v>2.93</v>
      </c>
      <c r="F411" s="1" t="s">
        <v>308</v>
      </c>
      <c r="G411" s="37"/>
      <c r="H411" s="37"/>
      <c r="I411" s="64"/>
      <c r="J411" s="38" t="s">
        <v>256</v>
      </c>
      <c r="K411" s="37"/>
      <c r="L411" s="4" t="s">
        <v>423</v>
      </c>
      <c r="M411" s="78" t="s">
        <v>867</v>
      </c>
      <c r="N411" s="78"/>
      <c r="O411" s="16" t="s">
        <v>82</v>
      </c>
      <c r="P411" s="12"/>
      <c r="Q411" s="16"/>
      <c r="R411" s="25"/>
      <c r="S411" s="25"/>
      <c r="T411" s="25"/>
      <c r="U411" s="25"/>
      <c r="V411" s="26"/>
      <c r="W411" s="25"/>
      <c r="X411" s="25"/>
      <c r="Y411" s="25"/>
      <c r="Z411" s="25"/>
      <c r="AA411" s="25"/>
      <c r="AB411" s="25"/>
      <c r="AC411" s="15"/>
      <c r="AD411" s="23"/>
      <c r="AE411" s="23"/>
      <c r="AF411" s="23"/>
      <c r="AG411" s="45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45"/>
      <c r="AV411" s="16"/>
      <c r="AW411" s="15"/>
      <c r="AX411" s="15"/>
      <c r="AY411" s="39">
        <v>53.04</v>
      </c>
      <c r="AZ411" s="39">
        <v>407.41</v>
      </c>
      <c r="BA411" s="39"/>
      <c r="BB411" s="15"/>
      <c r="BC411" s="15"/>
      <c r="BD411" s="39">
        <v>45.31</v>
      </c>
      <c r="BE411" s="39"/>
      <c r="BF411" s="15"/>
      <c r="BG411" s="39">
        <v>74.680000000000007</v>
      </c>
      <c r="BH411" s="39">
        <v>176.76</v>
      </c>
      <c r="BI411" s="39"/>
      <c r="BJ411" s="39">
        <v>107.24</v>
      </c>
      <c r="BK411" s="39"/>
      <c r="BL411" s="39">
        <v>4.92</v>
      </c>
      <c r="BM411" s="39"/>
      <c r="BN411" s="15"/>
      <c r="BO411" s="15"/>
      <c r="BP411" s="15"/>
      <c r="BQ411" s="39">
        <v>174.94</v>
      </c>
      <c r="BR411" s="39">
        <v>33.36</v>
      </c>
      <c r="BS411" s="15"/>
      <c r="BT411" s="39">
        <v>102.88</v>
      </c>
      <c r="BV411" s="39">
        <v>6.37</v>
      </c>
      <c r="BW411" s="39"/>
      <c r="BX411" s="15"/>
      <c r="BY411" s="15"/>
      <c r="BZ411" s="39">
        <v>0.13</v>
      </c>
      <c r="CA411" s="39">
        <v>21.6</v>
      </c>
      <c r="CB411" s="39">
        <v>6.04</v>
      </c>
      <c r="CC411" s="39">
        <v>16.45</v>
      </c>
      <c r="CD411" s="39">
        <v>2.27</v>
      </c>
      <c r="CE411" s="39">
        <v>13.35</v>
      </c>
      <c r="CF411" s="39">
        <v>3.93</v>
      </c>
      <c r="CG411" s="39">
        <v>1.31</v>
      </c>
      <c r="CH411" s="39">
        <v>4.57</v>
      </c>
      <c r="CI411" s="39">
        <v>0.85</v>
      </c>
      <c r="CJ411" s="39">
        <v>5.07</v>
      </c>
      <c r="CK411" s="39">
        <v>1.06</v>
      </c>
      <c r="CL411" s="39">
        <v>3.02</v>
      </c>
      <c r="CM411" s="39">
        <v>0.54</v>
      </c>
      <c r="CN411" s="39">
        <v>2.63</v>
      </c>
      <c r="CO411" s="39">
        <v>0.39</v>
      </c>
      <c r="CP411" s="39">
        <v>2.57</v>
      </c>
      <c r="CQ411" s="39">
        <v>0.66</v>
      </c>
      <c r="CR411" s="39">
        <v>2.95</v>
      </c>
      <c r="CS411" s="39">
        <v>0.38</v>
      </c>
      <c r="CT411" s="39">
        <v>0.09</v>
      </c>
    </row>
    <row r="412" spans="1:98">
      <c r="A412" s="1" t="s">
        <v>289</v>
      </c>
      <c r="B412" s="4" t="s">
        <v>290</v>
      </c>
      <c r="C412" s="40" t="s">
        <v>695</v>
      </c>
      <c r="D412" s="63">
        <v>67.22</v>
      </c>
      <c r="E412" s="63">
        <v>2.93</v>
      </c>
      <c r="F412" s="1" t="s">
        <v>308</v>
      </c>
      <c r="G412" s="4"/>
      <c r="H412" s="4"/>
      <c r="J412" s="40" t="s">
        <v>256</v>
      </c>
      <c r="K412" s="40"/>
      <c r="L412" s="4" t="s">
        <v>423</v>
      </c>
      <c r="M412" s="78" t="s">
        <v>867</v>
      </c>
      <c r="N412" s="78"/>
      <c r="O412" s="4"/>
      <c r="P412" s="4"/>
      <c r="Q412" s="4"/>
      <c r="AD412" s="23"/>
      <c r="AE412" s="23"/>
      <c r="AF412" s="23"/>
      <c r="AG412" s="45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45"/>
      <c r="AV412" s="4"/>
      <c r="AY412" s="39" t="s">
        <v>89</v>
      </c>
      <c r="BR412" s="39">
        <v>33.909999999999997</v>
      </c>
      <c r="BS412" s="39"/>
      <c r="BT412" s="39">
        <v>113.2</v>
      </c>
      <c r="BV412" s="39">
        <v>7.31</v>
      </c>
      <c r="BW412" s="39"/>
      <c r="CA412" s="39">
        <v>24.87</v>
      </c>
      <c r="CB412" s="39">
        <v>9.99</v>
      </c>
      <c r="CC412" s="39">
        <v>17.38</v>
      </c>
      <c r="CD412" s="39">
        <v>2.56</v>
      </c>
      <c r="CE412" s="39">
        <v>13.21</v>
      </c>
      <c r="CF412" s="39">
        <v>3.9</v>
      </c>
      <c r="CG412" s="39">
        <v>1.41</v>
      </c>
      <c r="CH412" s="39">
        <v>4.83</v>
      </c>
      <c r="CI412" s="39">
        <v>0.85</v>
      </c>
      <c r="CJ412" s="39">
        <v>5.56</v>
      </c>
      <c r="CK412" s="39">
        <v>1.1499999999999999</v>
      </c>
      <c r="CL412" s="39">
        <v>3.32</v>
      </c>
      <c r="CM412" s="39">
        <v>0.49</v>
      </c>
      <c r="CN412" s="39">
        <v>2.83</v>
      </c>
      <c r="CO412" s="39">
        <v>0.41</v>
      </c>
      <c r="CP412" s="39">
        <v>2.9</v>
      </c>
      <c r="CQ412" s="39">
        <v>0.43</v>
      </c>
      <c r="CR412" s="39">
        <v>0.06</v>
      </c>
      <c r="CS412" s="39"/>
      <c r="CT412" s="39">
        <v>0.09</v>
      </c>
    </row>
    <row r="413" spans="1:98">
      <c r="A413" s="1" t="s">
        <v>289</v>
      </c>
      <c r="B413" s="4" t="s">
        <v>290</v>
      </c>
      <c r="C413" s="1" t="s">
        <v>608</v>
      </c>
      <c r="D413" s="63">
        <v>67.22</v>
      </c>
      <c r="E413" s="63">
        <v>2.93</v>
      </c>
      <c r="F413" s="1" t="s">
        <v>308</v>
      </c>
      <c r="G413" s="1" t="s">
        <v>208</v>
      </c>
      <c r="H413" s="1" t="s">
        <v>141</v>
      </c>
      <c r="I413" s="9">
        <v>972.7</v>
      </c>
      <c r="J413" s="38" t="s">
        <v>256</v>
      </c>
      <c r="L413" s="4" t="s">
        <v>426</v>
      </c>
      <c r="M413" s="78" t="s">
        <v>866</v>
      </c>
      <c r="N413" s="78"/>
      <c r="Q413" s="1" t="s">
        <v>312</v>
      </c>
      <c r="R413" s="4">
        <v>48.4</v>
      </c>
      <c r="S413" s="1">
        <v>1.72</v>
      </c>
      <c r="T413" s="1">
        <v>14.53</v>
      </c>
      <c r="U413" s="1">
        <v>6.5</v>
      </c>
      <c r="V413" s="1">
        <v>6.03</v>
      </c>
      <c r="W413" s="1">
        <v>0.22</v>
      </c>
      <c r="X413" s="1">
        <v>7.41</v>
      </c>
      <c r="Y413" s="1">
        <v>11.14</v>
      </c>
      <c r="Z413" s="1">
        <v>2.39</v>
      </c>
      <c r="AA413" s="1">
        <v>0.25</v>
      </c>
      <c r="AB413" s="1">
        <v>0.19</v>
      </c>
      <c r="AC413" s="9">
        <v>1.1599999999999999</v>
      </c>
      <c r="AD413" s="23">
        <f>SUM(R413:AB413)+AC413</f>
        <v>99.939999999999984</v>
      </c>
      <c r="AE413" s="21">
        <f>V413+0.899*U413</f>
        <v>11.8735</v>
      </c>
      <c r="AF413" s="23">
        <f>(X413/40.3)/((X413/40.3)+(AE413/71.844))</f>
        <v>0.52664150599808923</v>
      </c>
      <c r="AH413" s="16">
        <f t="shared" ref="AH413:AR416" si="334">100*R413/SUM($R413:$AB413)</f>
        <v>48.997772828507799</v>
      </c>
      <c r="AI413" s="16">
        <f t="shared" si="334"/>
        <v>1.7412431666329218</v>
      </c>
      <c r="AJ413" s="16">
        <f t="shared" si="334"/>
        <v>14.70945535533509</v>
      </c>
      <c r="AK413" s="16">
        <f t="shared" si="334"/>
        <v>6.580279408787205</v>
      </c>
      <c r="AL413" s="16">
        <f t="shared" si="334"/>
        <v>6.1044745899979764</v>
      </c>
      <c r="AM413" s="16">
        <f t="shared" si="334"/>
        <v>0.22271714922049002</v>
      </c>
      <c r="AN413" s="16">
        <f t="shared" si="334"/>
        <v>7.5015185260174135</v>
      </c>
      <c r="AO413" s="16">
        <f t="shared" si="334"/>
        <v>11.277586555982994</v>
      </c>
      <c r="AP413" s="16">
        <f t="shared" si="334"/>
        <v>2.4195181210771413</v>
      </c>
      <c r="AQ413" s="16">
        <f t="shared" si="334"/>
        <v>0.25308766956873863</v>
      </c>
      <c r="AR413" s="16">
        <f t="shared" si="334"/>
        <v>0.19234662887224138</v>
      </c>
      <c r="AS413" s="16">
        <f>SUM(AH413:AR413)</f>
        <v>100.00000000000001</v>
      </c>
      <c r="AT413" s="16">
        <f>AL413+0.899*AK413</f>
        <v>12.020145778497675</v>
      </c>
      <c r="AV413" s="1" t="s">
        <v>428</v>
      </c>
      <c r="AY413" s="41"/>
      <c r="AZ413" s="41"/>
      <c r="BA413" s="41">
        <v>333</v>
      </c>
      <c r="BB413" s="41"/>
      <c r="BC413" s="41">
        <v>236</v>
      </c>
      <c r="BD413" s="41"/>
      <c r="BE413" s="41">
        <v>43</v>
      </c>
      <c r="BF413" s="41"/>
      <c r="BG413" s="41">
        <v>93</v>
      </c>
      <c r="BH413" s="41"/>
      <c r="BI413" s="41">
        <v>75</v>
      </c>
      <c r="BJ413" s="41"/>
      <c r="BK413" s="41">
        <v>94</v>
      </c>
      <c r="BL413" s="41"/>
      <c r="BM413" s="41"/>
      <c r="BN413" s="41">
        <v>5</v>
      </c>
      <c r="BO413" s="41"/>
      <c r="BP413" s="41"/>
      <c r="BQ413" s="41">
        <v>205</v>
      </c>
      <c r="BR413" s="41"/>
      <c r="BS413" s="41">
        <v>35</v>
      </c>
      <c r="BT413" s="41"/>
      <c r="BU413" s="41">
        <v>112</v>
      </c>
      <c r="BV413" s="41"/>
      <c r="BW413" s="41">
        <v>6</v>
      </c>
    </row>
    <row r="414" spans="1:98">
      <c r="A414" s="1" t="s">
        <v>289</v>
      </c>
      <c r="B414" s="4" t="s">
        <v>290</v>
      </c>
      <c r="C414" s="1" t="s">
        <v>609</v>
      </c>
      <c r="D414" s="63">
        <v>67.22</v>
      </c>
      <c r="E414" s="63">
        <v>2.93</v>
      </c>
      <c r="F414" s="1" t="s">
        <v>308</v>
      </c>
      <c r="G414" s="1" t="s">
        <v>224</v>
      </c>
      <c r="H414" s="1" t="s">
        <v>141</v>
      </c>
      <c r="I414" s="9">
        <v>979</v>
      </c>
      <c r="J414" s="38" t="s">
        <v>256</v>
      </c>
      <c r="L414" s="4" t="s">
        <v>426</v>
      </c>
      <c r="M414" s="78" t="s">
        <v>866</v>
      </c>
      <c r="N414" s="78"/>
      <c r="Q414" s="1" t="s">
        <v>312</v>
      </c>
      <c r="R414" s="4">
        <v>47.7</v>
      </c>
      <c r="S414" s="1">
        <v>1.64</v>
      </c>
      <c r="T414" s="1">
        <v>14.59</v>
      </c>
      <c r="U414" s="1">
        <v>8.83</v>
      </c>
      <c r="V414" s="1">
        <v>4.25</v>
      </c>
      <c r="W414" s="1">
        <v>0.1</v>
      </c>
      <c r="X414" s="1">
        <v>8.2899999999999991</v>
      </c>
      <c r="Y414" s="1">
        <v>8.44</v>
      </c>
      <c r="Z414" s="1">
        <v>2.64</v>
      </c>
      <c r="AA414" s="1">
        <v>0.33</v>
      </c>
      <c r="AB414" s="1">
        <v>0.13</v>
      </c>
      <c r="AC414" s="9">
        <v>2.68</v>
      </c>
      <c r="AD414" s="23">
        <f>SUM(R414:AB414)+AC414</f>
        <v>99.62</v>
      </c>
      <c r="AE414" s="21">
        <f>V414+0.899*U414</f>
        <v>12.18817</v>
      </c>
      <c r="AF414" s="23">
        <f>(X414/40.3)/((X414/40.3)+(AE414/71.844))</f>
        <v>0.54803385626363221</v>
      </c>
      <c r="AH414" s="16">
        <f t="shared" si="334"/>
        <v>49.205694243862183</v>
      </c>
      <c r="AI414" s="16">
        <f t="shared" si="334"/>
        <v>1.6917681039818444</v>
      </c>
      <c r="AJ414" s="16">
        <f t="shared" si="334"/>
        <v>15.050546729936043</v>
      </c>
      <c r="AK414" s="16">
        <f t="shared" si="334"/>
        <v>9.1087270476583448</v>
      </c>
      <c r="AL414" s="16">
        <f t="shared" si="334"/>
        <v>4.3841551475139262</v>
      </c>
      <c r="AM414" s="16">
        <f t="shared" si="334"/>
        <v>0.10315659170621003</v>
      </c>
      <c r="AN414" s="16">
        <f t="shared" si="334"/>
        <v>8.5516814524448108</v>
      </c>
      <c r="AO414" s="16">
        <f t="shared" si="334"/>
        <v>8.706416340004127</v>
      </c>
      <c r="AP414" s="16">
        <f t="shared" si="334"/>
        <v>2.7233340210439447</v>
      </c>
      <c r="AQ414" s="16">
        <f t="shared" si="334"/>
        <v>0.34041675263049309</v>
      </c>
      <c r="AR414" s="16">
        <f t="shared" si="334"/>
        <v>0.13410356921807304</v>
      </c>
      <c r="AS414" s="16">
        <f>SUM(AH414:AR414)</f>
        <v>99.999999999999986</v>
      </c>
      <c r="AT414" s="16">
        <f>AL414+0.899*AK414</f>
        <v>12.572900763358778</v>
      </c>
      <c r="AV414" s="1" t="s">
        <v>428</v>
      </c>
      <c r="AY414" s="41"/>
      <c r="AZ414" s="41"/>
      <c r="BA414" s="41">
        <v>309</v>
      </c>
      <c r="BB414" s="41"/>
      <c r="BC414" s="41">
        <v>133</v>
      </c>
      <c r="BD414" s="41"/>
      <c r="BE414" s="41">
        <v>43</v>
      </c>
      <c r="BF414" s="41"/>
      <c r="BG414" s="41">
        <v>94</v>
      </c>
      <c r="BH414" s="41"/>
      <c r="BI414" s="41">
        <v>94</v>
      </c>
      <c r="BJ414" s="41"/>
      <c r="BK414" s="41">
        <v>75</v>
      </c>
      <c r="BL414" s="41"/>
      <c r="BM414" s="41"/>
      <c r="BN414" s="41">
        <v>12</v>
      </c>
      <c r="BO414" s="41"/>
      <c r="BP414" s="41"/>
      <c r="BQ414" s="41">
        <v>177</v>
      </c>
      <c r="BR414" s="41"/>
      <c r="BS414" s="41">
        <v>33</v>
      </c>
      <c r="BT414" s="41"/>
      <c r="BU414" s="41">
        <v>97</v>
      </c>
      <c r="BV414" s="41"/>
      <c r="BW414" s="41">
        <v>5</v>
      </c>
      <c r="CB414" s="9">
        <v>2.81</v>
      </c>
      <c r="CC414" s="9">
        <v>7.1</v>
      </c>
      <c r="CE414" s="9">
        <v>5.9</v>
      </c>
      <c r="CF414" s="9">
        <v>2.14</v>
      </c>
      <c r="CG414" s="9">
        <v>0.81</v>
      </c>
      <c r="CI414" s="9">
        <v>0.47</v>
      </c>
      <c r="CN414" s="9">
        <v>1.77</v>
      </c>
      <c r="CO414" s="9">
        <v>0.26</v>
      </c>
      <c r="CP414" s="9">
        <v>1.49</v>
      </c>
      <c r="CQ414" s="9">
        <v>0.17</v>
      </c>
      <c r="CS414" s="9">
        <v>0.33</v>
      </c>
    </row>
    <row r="415" spans="1:98">
      <c r="A415" s="1" t="s">
        <v>289</v>
      </c>
      <c r="B415" s="4" t="s">
        <v>290</v>
      </c>
      <c r="C415" s="1" t="s">
        <v>610</v>
      </c>
      <c r="D415" s="63">
        <v>67.22</v>
      </c>
      <c r="E415" s="63">
        <v>2.93</v>
      </c>
      <c r="F415" s="1" t="s">
        <v>308</v>
      </c>
      <c r="G415" s="1" t="s">
        <v>179</v>
      </c>
      <c r="H415" s="1" t="s">
        <v>141</v>
      </c>
      <c r="I415" s="9">
        <v>996.2</v>
      </c>
      <c r="J415" s="38" t="s">
        <v>256</v>
      </c>
      <c r="L415" s="4" t="s">
        <v>426</v>
      </c>
      <c r="M415" s="78" t="s">
        <v>866</v>
      </c>
      <c r="N415" s="78"/>
      <c r="Q415" s="1" t="s">
        <v>312</v>
      </c>
      <c r="R415" s="4">
        <v>48.3</v>
      </c>
      <c r="S415" s="1">
        <v>1.87</v>
      </c>
      <c r="T415" s="1">
        <v>14.88</v>
      </c>
      <c r="U415" s="1">
        <v>5.36</v>
      </c>
      <c r="V415" s="1">
        <v>5.44</v>
      </c>
      <c r="W415" s="1">
        <v>0.21</v>
      </c>
      <c r="X415" s="1">
        <v>7.49</v>
      </c>
      <c r="Y415" s="1">
        <v>11.29</v>
      </c>
      <c r="Z415" s="1">
        <v>2.4700000000000002</v>
      </c>
      <c r="AA415" s="1">
        <v>0.16</v>
      </c>
      <c r="AB415" s="1">
        <v>0.18</v>
      </c>
      <c r="AC415" s="9">
        <v>1.45</v>
      </c>
      <c r="AD415" s="23">
        <f>SUM(R415:AB415)+AC415</f>
        <v>99.09999999999998</v>
      </c>
      <c r="AE415" s="21">
        <f>V415+0.899*U415</f>
        <v>10.25864</v>
      </c>
      <c r="AF415" s="23">
        <f>(X415/40.3)/((X415/40.3)+(AE415/71.844))</f>
        <v>0.56551960805315915</v>
      </c>
      <c r="AH415" s="16">
        <f t="shared" si="334"/>
        <v>49.462365591397862</v>
      </c>
      <c r="AI415" s="16">
        <f t="shared" si="334"/>
        <v>1.915002560163851</v>
      </c>
      <c r="AJ415" s="16">
        <f t="shared" si="334"/>
        <v>15.238095238095241</v>
      </c>
      <c r="AK415" s="16">
        <f t="shared" si="334"/>
        <v>5.4889912954429096</v>
      </c>
      <c r="AL415" s="16">
        <f t="shared" si="334"/>
        <v>5.5709165386584756</v>
      </c>
      <c r="AM415" s="16">
        <f t="shared" si="334"/>
        <v>0.21505376344086027</v>
      </c>
      <c r="AN415" s="16">
        <f t="shared" si="334"/>
        <v>7.6702508960573494</v>
      </c>
      <c r="AO415" s="16">
        <f t="shared" si="334"/>
        <v>11.561699948796726</v>
      </c>
      <c r="AP415" s="16">
        <f t="shared" si="334"/>
        <v>2.5294418842805948</v>
      </c>
      <c r="AQ415" s="16">
        <f t="shared" si="334"/>
        <v>0.16385048643113162</v>
      </c>
      <c r="AR415" s="16">
        <f t="shared" si="334"/>
        <v>0.18433179723502308</v>
      </c>
      <c r="AS415" s="16">
        <f>SUM(AH415:AR415)</f>
        <v>100.00000000000004</v>
      </c>
      <c r="AT415" s="16">
        <f>AL415+0.899*AK415</f>
        <v>10.505519713261652</v>
      </c>
      <c r="AV415" s="1" t="s">
        <v>428</v>
      </c>
      <c r="AY415" s="41"/>
      <c r="AZ415" s="41"/>
      <c r="BA415" s="41">
        <v>363</v>
      </c>
      <c r="BB415" s="41"/>
      <c r="BC415" s="41">
        <v>183</v>
      </c>
      <c r="BD415" s="41"/>
      <c r="BE415" s="41">
        <v>38</v>
      </c>
      <c r="BF415" s="41"/>
      <c r="BG415" s="41">
        <v>94</v>
      </c>
      <c r="BH415" s="41"/>
      <c r="BI415" s="41">
        <v>162</v>
      </c>
      <c r="BJ415" s="41"/>
      <c r="BK415" s="41">
        <v>105</v>
      </c>
      <c r="BL415" s="41"/>
      <c r="BM415" s="41"/>
      <c r="BN415" s="41">
        <v>2</v>
      </c>
      <c r="BO415" s="41"/>
      <c r="BP415" s="41"/>
      <c r="BQ415" s="41">
        <v>227</v>
      </c>
      <c r="BR415" s="41"/>
      <c r="BS415" s="41">
        <v>27</v>
      </c>
      <c r="BT415" s="41"/>
      <c r="BU415" s="41">
        <v>113</v>
      </c>
      <c r="BV415" s="41"/>
      <c r="BW415" s="41">
        <v>7</v>
      </c>
      <c r="CB415" s="9">
        <v>5.7</v>
      </c>
      <c r="CC415" s="9">
        <v>15.5</v>
      </c>
      <c r="CE415" s="9">
        <v>12</v>
      </c>
      <c r="CF415" s="9">
        <v>3.81</v>
      </c>
      <c r="CG415" s="9">
        <v>1.44</v>
      </c>
      <c r="CI415" s="9">
        <v>0.77</v>
      </c>
      <c r="CN415" s="9">
        <v>2.38</v>
      </c>
      <c r="CO415" s="9">
        <v>0.38</v>
      </c>
      <c r="CP415" s="9">
        <v>2.67</v>
      </c>
      <c r="CQ415" s="9">
        <v>0.41</v>
      </c>
      <c r="CS415" s="9">
        <v>0.6</v>
      </c>
    </row>
    <row r="416" spans="1:98">
      <c r="A416" s="1" t="s">
        <v>289</v>
      </c>
      <c r="B416" s="4" t="s">
        <v>290</v>
      </c>
      <c r="C416" s="1" t="s">
        <v>611</v>
      </c>
      <c r="D416" s="63">
        <v>67.22</v>
      </c>
      <c r="E416" s="63">
        <v>2.93</v>
      </c>
      <c r="F416" s="1" t="s">
        <v>308</v>
      </c>
      <c r="G416" s="1" t="s">
        <v>177</v>
      </c>
      <c r="H416" s="1" t="s">
        <v>141</v>
      </c>
      <c r="I416" s="9">
        <v>1001.6</v>
      </c>
      <c r="J416" s="38" t="s">
        <v>256</v>
      </c>
      <c r="L416" s="4" t="s">
        <v>426</v>
      </c>
      <c r="M416" s="78" t="s">
        <v>866</v>
      </c>
      <c r="N416" s="78"/>
      <c r="Q416" s="1" t="s">
        <v>312</v>
      </c>
      <c r="R416" s="4">
        <v>48.2</v>
      </c>
      <c r="S416" s="1">
        <v>1.78</v>
      </c>
      <c r="T416" s="1">
        <v>13.92</v>
      </c>
      <c r="U416" s="1">
        <v>3.9</v>
      </c>
      <c r="V416" s="1">
        <v>7.88</v>
      </c>
      <c r="W416" s="1">
        <v>0.23</v>
      </c>
      <c r="X416" s="1">
        <v>7.21</v>
      </c>
      <c r="Y416" s="1">
        <v>11.65</v>
      </c>
      <c r="Z416" s="1">
        <v>2.17</v>
      </c>
      <c r="AA416" s="1">
        <v>0.15</v>
      </c>
      <c r="AB416" s="1">
        <v>0.17</v>
      </c>
      <c r="AC416" s="9">
        <v>1.23</v>
      </c>
      <c r="AD416" s="23">
        <f>SUM(R416:AB416)+AC416</f>
        <v>98.490000000000023</v>
      </c>
      <c r="AE416" s="21">
        <f>V416+0.899*U416</f>
        <v>11.386099999999999</v>
      </c>
      <c r="AF416" s="23">
        <f>(X416/40.3)/((X416/40.3)+(AE416/71.844))</f>
        <v>0.5302682618005965</v>
      </c>
      <c r="AH416" s="16">
        <f t="shared" si="334"/>
        <v>49.557886078552322</v>
      </c>
      <c r="AI416" s="16">
        <f t="shared" si="334"/>
        <v>1.8301460004112684</v>
      </c>
      <c r="AJ416" s="16">
        <f t="shared" si="334"/>
        <v>14.312152991980255</v>
      </c>
      <c r="AK416" s="16">
        <f t="shared" si="334"/>
        <v>4.0098704503392959</v>
      </c>
      <c r="AL416" s="16">
        <f t="shared" si="334"/>
        <v>8.1019946535060647</v>
      </c>
      <c r="AM416" s="16">
        <f t="shared" si="334"/>
        <v>0.23647953937898411</v>
      </c>
      <c r="AN416" s="16">
        <f t="shared" si="334"/>
        <v>7.4131194735759802</v>
      </c>
      <c r="AO416" s="16">
        <f t="shared" si="334"/>
        <v>11.978202755500718</v>
      </c>
      <c r="AP416" s="16">
        <f t="shared" si="334"/>
        <v>2.2311330454451981</v>
      </c>
      <c r="AQ416" s="16">
        <f t="shared" si="334"/>
        <v>0.1542257865515114</v>
      </c>
      <c r="AR416" s="16">
        <f t="shared" si="334"/>
        <v>0.17478922475837957</v>
      </c>
      <c r="AS416" s="16">
        <f>SUM(AH416:AR416)</f>
        <v>99.999999999999986</v>
      </c>
      <c r="AT416" s="16">
        <f>AL416+0.899*AK416</f>
        <v>11.706868188361092</v>
      </c>
      <c r="AV416" s="1" t="s">
        <v>428</v>
      </c>
      <c r="AY416" s="41"/>
      <c r="AZ416" s="41"/>
      <c r="BA416" s="41">
        <v>343</v>
      </c>
      <c r="BB416" s="41"/>
      <c r="BC416" s="41">
        <v>174</v>
      </c>
      <c r="BD416" s="41"/>
      <c r="BE416" s="41">
        <v>41</v>
      </c>
      <c r="BF416" s="41"/>
      <c r="BG416" s="41">
        <v>94</v>
      </c>
      <c r="BH416" s="41"/>
      <c r="BI416" s="41">
        <v>147</v>
      </c>
      <c r="BJ416" s="41"/>
      <c r="BK416" s="41">
        <v>84</v>
      </c>
      <c r="BL416" s="41"/>
      <c r="BM416" s="41"/>
      <c r="BN416" s="41">
        <v>9</v>
      </c>
      <c r="BO416" s="41"/>
      <c r="BP416" s="41"/>
      <c r="BQ416" s="41">
        <v>207</v>
      </c>
      <c r="BR416" s="41"/>
      <c r="BS416" s="41">
        <v>30</v>
      </c>
      <c r="BT416" s="41"/>
      <c r="BU416" s="41">
        <v>107</v>
      </c>
      <c r="BV416" s="41"/>
      <c r="BW416" s="41">
        <v>6</v>
      </c>
      <c r="CB416" s="9">
        <v>6.3</v>
      </c>
      <c r="CC416" s="9">
        <v>17.3</v>
      </c>
      <c r="CE416" s="9">
        <v>13.3</v>
      </c>
      <c r="CF416" s="9">
        <v>3.99</v>
      </c>
      <c r="CG416" s="9">
        <v>1.48</v>
      </c>
      <c r="CI416" s="9">
        <v>0.86</v>
      </c>
      <c r="CN416" s="9">
        <v>2.74</v>
      </c>
      <c r="CO416" s="9">
        <v>0.36</v>
      </c>
      <c r="CP416" s="9">
        <v>2.71</v>
      </c>
      <c r="CQ416" s="9">
        <v>0.43</v>
      </c>
      <c r="CS416" s="9">
        <v>0.56999999999999995</v>
      </c>
    </row>
    <row r="417" spans="1:98">
      <c r="A417" s="1" t="s">
        <v>289</v>
      </c>
      <c r="B417" s="4" t="s">
        <v>290</v>
      </c>
      <c r="C417" s="40" t="s">
        <v>696</v>
      </c>
      <c r="D417" s="63">
        <v>67.22</v>
      </c>
      <c r="E417" s="63">
        <v>2.93</v>
      </c>
      <c r="F417" s="1" t="s">
        <v>308</v>
      </c>
      <c r="G417" s="4"/>
      <c r="H417" s="4"/>
      <c r="J417" s="38" t="s">
        <v>256</v>
      </c>
      <c r="K417" s="40"/>
      <c r="L417" s="4" t="s">
        <v>423</v>
      </c>
      <c r="M417" s="78" t="s">
        <v>867</v>
      </c>
      <c r="N417" s="78"/>
      <c r="O417" s="4"/>
      <c r="P417" s="4"/>
      <c r="Q417" s="4"/>
      <c r="AD417" s="23"/>
      <c r="AE417" s="23"/>
      <c r="AF417" s="23"/>
      <c r="AG417" s="45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45"/>
      <c r="AV417" s="4"/>
      <c r="AY417" s="39">
        <v>44.21</v>
      </c>
      <c r="BR417" s="39">
        <v>32.36</v>
      </c>
      <c r="BS417" s="39"/>
      <c r="BT417" s="39">
        <v>158.44999999999999</v>
      </c>
      <c r="BV417" s="39">
        <v>8.09</v>
      </c>
      <c r="BW417" s="39"/>
      <c r="CA417" s="39">
        <v>45.51</v>
      </c>
      <c r="CB417" s="39">
        <v>7.04</v>
      </c>
      <c r="CC417" s="39">
        <v>18.28</v>
      </c>
      <c r="CD417" s="39">
        <v>2.67</v>
      </c>
      <c r="CE417" s="39">
        <v>13.79</v>
      </c>
      <c r="CF417" s="39">
        <v>4.1900000000000004</v>
      </c>
      <c r="CG417" s="39">
        <v>1.44</v>
      </c>
      <c r="CH417" s="39">
        <v>4.8099999999999996</v>
      </c>
      <c r="CI417" s="39">
        <v>0.87</v>
      </c>
      <c r="CJ417" s="39">
        <v>5.44</v>
      </c>
      <c r="CK417" s="39">
        <v>1.1399999999999999</v>
      </c>
      <c r="CL417" s="39">
        <v>3.23</v>
      </c>
      <c r="CM417" s="39">
        <v>0.48</v>
      </c>
      <c r="CN417" s="39">
        <v>2.93</v>
      </c>
      <c r="CO417" s="39">
        <v>0.46</v>
      </c>
      <c r="CP417" s="39">
        <v>3.64</v>
      </c>
      <c r="CQ417" s="39">
        <v>0.44</v>
      </c>
      <c r="CR417" s="39">
        <v>0.51</v>
      </c>
      <c r="CS417" s="39">
        <v>0.56000000000000005</v>
      </c>
      <c r="CT417" s="39">
        <v>0.14000000000000001</v>
      </c>
    </row>
    <row r="418" spans="1:98">
      <c r="A418" s="1" t="s">
        <v>289</v>
      </c>
      <c r="B418" s="4" t="s">
        <v>290</v>
      </c>
      <c r="C418" s="40" t="s">
        <v>88</v>
      </c>
      <c r="D418" s="63">
        <v>67.22</v>
      </c>
      <c r="E418" s="63">
        <v>2.93</v>
      </c>
      <c r="F418" s="1" t="s">
        <v>308</v>
      </c>
      <c r="G418" s="4"/>
      <c r="H418" s="4"/>
      <c r="J418" s="38" t="s">
        <v>256</v>
      </c>
      <c r="K418" s="40"/>
      <c r="L418" s="4" t="s">
        <v>423</v>
      </c>
      <c r="M418" s="78" t="s">
        <v>867</v>
      </c>
      <c r="N418" s="78"/>
      <c r="O418" s="40"/>
      <c r="P418" s="4"/>
      <c r="Q418" s="4"/>
      <c r="R418" s="4">
        <v>49.09</v>
      </c>
      <c r="S418" s="4">
        <v>1.86</v>
      </c>
      <c r="T418" s="4">
        <v>14.18</v>
      </c>
      <c r="U418" s="4">
        <v>13.44</v>
      </c>
      <c r="W418" s="4">
        <v>0.23</v>
      </c>
      <c r="X418" s="4">
        <v>6.34</v>
      </c>
      <c r="Y418" s="4">
        <v>12.07</v>
      </c>
      <c r="Z418" s="4">
        <v>2.31</v>
      </c>
      <c r="AA418" s="4">
        <v>0.18</v>
      </c>
      <c r="AB418" s="4">
        <v>0.3</v>
      </c>
      <c r="AD418" s="23">
        <f>SUM(R418:AB418)+AC418</f>
        <v>100.00000000000001</v>
      </c>
      <c r="AE418" s="21">
        <f>V418+0.899*U418</f>
        <v>12.082559999999999</v>
      </c>
      <c r="AF418" s="23">
        <f>(X418/40.3)/((X418/40.3)+(AE418/71.844))</f>
        <v>0.48332151777114374</v>
      </c>
      <c r="AG418" s="45"/>
      <c r="AH418" s="16">
        <f t="shared" ref="AH418:AR418" si="335">100*R418/SUM($R418:$AB418)</f>
        <v>49.089999999999996</v>
      </c>
      <c r="AI418" s="16">
        <f t="shared" si="335"/>
        <v>1.8599999999999997</v>
      </c>
      <c r="AJ418" s="16">
        <f t="shared" si="335"/>
        <v>14.179999999999998</v>
      </c>
      <c r="AK418" s="16">
        <f t="shared" si="335"/>
        <v>13.439999999999998</v>
      </c>
      <c r="AL418" s="16">
        <f t="shared" si="335"/>
        <v>0</v>
      </c>
      <c r="AM418" s="16">
        <f t="shared" si="335"/>
        <v>0.22999999999999995</v>
      </c>
      <c r="AN418" s="16">
        <f t="shared" si="335"/>
        <v>6.339999999999999</v>
      </c>
      <c r="AO418" s="16">
        <f t="shared" si="335"/>
        <v>12.069999999999999</v>
      </c>
      <c r="AP418" s="16">
        <f t="shared" si="335"/>
        <v>2.3099999999999996</v>
      </c>
      <c r="AQ418" s="16">
        <f t="shared" si="335"/>
        <v>0.17999999999999997</v>
      </c>
      <c r="AR418" s="16">
        <f t="shared" si="335"/>
        <v>0.29999999999999993</v>
      </c>
      <c r="AS418" s="16">
        <f>SUM(AH418:AR418)</f>
        <v>100</v>
      </c>
      <c r="AT418" s="16">
        <f>AL418+0.899*AK418</f>
        <v>12.082559999999999</v>
      </c>
      <c r="AU418" s="45"/>
      <c r="AV418" s="4"/>
      <c r="AY418" s="39"/>
      <c r="BR418" s="39">
        <v>30.92</v>
      </c>
      <c r="BS418" s="39"/>
      <c r="BT418" s="39">
        <v>118.67</v>
      </c>
      <c r="BV418" s="39">
        <v>7.84</v>
      </c>
      <c r="BW418" s="39"/>
      <c r="CA418" s="39">
        <v>44.51</v>
      </c>
      <c r="CB418" s="39">
        <v>6.96</v>
      </c>
      <c r="CC418" s="39">
        <v>18.440000000000001</v>
      </c>
      <c r="CD418" s="39">
        <v>2.65</v>
      </c>
      <c r="CE418" s="39">
        <v>14.1</v>
      </c>
      <c r="CF418" s="39">
        <v>4.2</v>
      </c>
      <c r="CG418" s="39">
        <v>1.48</v>
      </c>
      <c r="CH418" s="39">
        <v>4.9800000000000004</v>
      </c>
      <c r="CI418" s="39">
        <v>0.9</v>
      </c>
      <c r="CJ418" s="39">
        <v>5.65</v>
      </c>
      <c r="CK418" s="39">
        <v>1.17</v>
      </c>
      <c r="CL418" s="39">
        <v>3.24</v>
      </c>
      <c r="CM418" s="39">
        <v>0.5</v>
      </c>
      <c r="CN418" s="39">
        <v>2.98</v>
      </c>
      <c r="CO418" s="39">
        <v>0.44</v>
      </c>
      <c r="CP418" s="39">
        <v>3.15</v>
      </c>
      <c r="CQ418" s="39">
        <v>0.45</v>
      </c>
      <c r="CR418" s="39">
        <v>4.16</v>
      </c>
      <c r="CS418" s="39"/>
      <c r="CT418" s="39">
        <v>0.15</v>
      </c>
    </row>
    <row r="419" spans="1:98">
      <c r="A419" s="1" t="s">
        <v>289</v>
      </c>
      <c r="B419" s="4" t="s">
        <v>290</v>
      </c>
      <c r="C419" s="38" t="s">
        <v>88</v>
      </c>
      <c r="D419" s="63">
        <v>67.22</v>
      </c>
      <c r="E419" s="63">
        <v>2.93</v>
      </c>
      <c r="F419" s="1" t="s">
        <v>308</v>
      </c>
      <c r="G419" s="37"/>
      <c r="H419" s="37"/>
      <c r="I419" s="64"/>
      <c r="J419" s="38" t="s">
        <v>256</v>
      </c>
      <c r="K419" s="37"/>
      <c r="L419" s="4" t="s">
        <v>423</v>
      </c>
      <c r="M419" s="78" t="s">
        <v>867</v>
      </c>
      <c r="N419" s="78"/>
      <c r="O419" s="16" t="s">
        <v>82</v>
      </c>
      <c r="P419" s="12"/>
      <c r="Q419" s="16"/>
      <c r="R419" s="25"/>
      <c r="S419" s="25"/>
      <c r="T419" s="25"/>
      <c r="U419" s="25"/>
      <c r="V419" s="26"/>
      <c r="W419" s="25"/>
      <c r="X419" s="25"/>
      <c r="Y419" s="25"/>
      <c r="Z419" s="25"/>
      <c r="AA419" s="25"/>
      <c r="AB419" s="25"/>
      <c r="AC419" s="15"/>
      <c r="AD419" s="23"/>
      <c r="AE419" s="23"/>
      <c r="AF419" s="23"/>
      <c r="AG419" s="45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45"/>
      <c r="AV419" s="16"/>
      <c r="AW419" s="15"/>
      <c r="AX419" s="15"/>
      <c r="AY419" s="39">
        <v>53.55</v>
      </c>
      <c r="AZ419" s="39">
        <v>328.22</v>
      </c>
      <c r="BA419" s="39"/>
      <c r="BB419" s="15"/>
      <c r="BC419" s="15"/>
      <c r="BD419" s="39">
        <v>48.41</v>
      </c>
      <c r="BE419" s="39"/>
      <c r="BF419" s="15"/>
      <c r="BG419" s="39">
        <v>75.45</v>
      </c>
      <c r="BH419" s="39">
        <v>155.09</v>
      </c>
      <c r="BI419" s="39"/>
      <c r="BJ419" s="39">
        <v>101.04</v>
      </c>
      <c r="BK419" s="39"/>
      <c r="BL419" s="39">
        <v>5.1100000000000003</v>
      </c>
      <c r="BM419" s="39"/>
      <c r="BN419" s="15"/>
      <c r="BO419" s="15"/>
      <c r="BP419" s="15"/>
      <c r="BQ419" s="39">
        <v>171.89</v>
      </c>
      <c r="BR419" s="39">
        <v>31.79</v>
      </c>
      <c r="BS419" s="15"/>
      <c r="BT419" s="39">
        <v>112.08</v>
      </c>
      <c r="BV419" s="39">
        <v>7.18</v>
      </c>
      <c r="BW419" s="39"/>
      <c r="BX419" s="15"/>
      <c r="BY419" s="15"/>
      <c r="BZ419" s="39">
        <v>0.02</v>
      </c>
      <c r="CA419" s="39">
        <v>43.44</v>
      </c>
      <c r="CB419" s="39">
        <v>6.99</v>
      </c>
      <c r="CC419" s="39">
        <v>18.5</v>
      </c>
      <c r="CD419" s="39">
        <v>2.5299999999999998</v>
      </c>
      <c r="CE419" s="39">
        <v>14.43</v>
      </c>
      <c r="CF419" s="39">
        <v>4.04</v>
      </c>
      <c r="CG419" s="39">
        <v>1.31</v>
      </c>
      <c r="CH419" s="39">
        <v>4.6399999999999997</v>
      </c>
      <c r="CI419" s="39">
        <v>0.87</v>
      </c>
      <c r="CJ419" s="39">
        <v>5.07</v>
      </c>
      <c r="CK419" s="39">
        <v>1.06</v>
      </c>
      <c r="CL419" s="39">
        <v>2.95</v>
      </c>
      <c r="CM419" s="39">
        <v>0.56000000000000005</v>
      </c>
      <c r="CN419" s="39">
        <v>2.67</v>
      </c>
      <c r="CO419" s="39">
        <v>0.4</v>
      </c>
      <c r="CP419" s="39">
        <v>2.96</v>
      </c>
      <c r="CQ419" s="39">
        <v>0.77</v>
      </c>
      <c r="CR419" s="39" t="s">
        <v>89</v>
      </c>
      <c r="CS419" s="39">
        <v>0.49</v>
      </c>
      <c r="CT419" s="39">
        <v>0.1</v>
      </c>
    </row>
    <row r="420" spans="1:98">
      <c r="A420" s="1" t="s">
        <v>289</v>
      </c>
      <c r="B420" s="4" t="s">
        <v>290</v>
      </c>
      <c r="C420" s="1" t="s">
        <v>612</v>
      </c>
      <c r="D420" s="63">
        <v>67.22</v>
      </c>
      <c r="E420" s="63">
        <v>2.93</v>
      </c>
      <c r="F420" s="1" t="s">
        <v>308</v>
      </c>
      <c r="G420" s="1" t="s">
        <v>165</v>
      </c>
      <c r="H420" s="1" t="s">
        <v>141</v>
      </c>
      <c r="I420" s="9">
        <v>1014.4</v>
      </c>
      <c r="J420" s="38" t="s">
        <v>256</v>
      </c>
      <c r="L420" s="4" t="s">
        <v>426</v>
      </c>
      <c r="M420" s="78" t="s">
        <v>866</v>
      </c>
      <c r="N420" s="78"/>
      <c r="Q420" s="1" t="s">
        <v>312</v>
      </c>
      <c r="R420" s="4">
        <v>48.7</v>
      </c>
      <c r="S420" s="1">
        <v>1.56</v>
      </c>
      <c r="T420" s="1">
        <v>15.06</v>
      </c>
      <c r="U420" s="1">
        <v>5.68</v>
      </c>
      <c r="V420" s="1">
        <v>6.52</v>
      </c>
      <c r="W420" s="1">
        <v>0.25</v>
      </c>
      <c r="X420" s="1">
        <v>7.26</v>
      </c>
      <c r="Y420" s="1">
        <v>11.18</v>
      </c>
      <c r="Z420" s="1">
        <v>2.27</v>
      </c>
      <c r="AA420" s="1">
        <v>0.1</v>
      </c>
      <c r="AB420" s="1">
        <v>0.14000000000000001</v>
      </c>
      <c r="AC420" s="9">
        <v>1.32</v>
      </c>
      <c r="AD420" s="23">
        <f>SUM(R420:AB420)+AC420</f>
        <v>100.03999999999999</v>
      </c>
      <c r="AE420" s="21">
        <f>V420+0.899*U420</f>
        <v>11.62632</v>
      </c>
      <c r="AF420" s="23">
        <f>(X420/40.3)/((X420/40.3)+(AE420/71.844))</f>
        <v>0.52678781769312333</v>
      </c>
      <c r="AH420" s="16">
        <f t="shared" ref="AH420:AR422" si="336">100*R420/SUM($R420:$AB420)</f>
        <v>49.331442463533229</v>
      </c>
      <c r="AI420" s="16">
        <f t="shared" si="336"/>
        <v>1.5802269043760129</v>
      </c>
      <c r="AJ420" s="16">
        <f t="shared" si="336"/>
        <v>15.255267423014587</v>
      </c>
      <c r="AK420" s="16">
        <f t="shared" si="336"/>
        <v>5.7536466774716368</v>
      </c>
      <c r="AL420" s="16">
        <f t="shared" si="336"/>
        <v>6.6045380875202593</v>
      </c>
      <c r="AM420" s="16">
        <f t="shared" si="336"/>
        <v>0.25324149108589949</v>
      </c>
      <c r="AN420" s="16">
        <f t="shared" si="336"/>
        <v>7.3541329011345216</v>
      </c>
      <c r="AO420" s="16">
        <f t="shared" si="336"/>
        <v>11.324959481361427</v>
      </c>
      <c r="AP420" s="16">
        <f t="shared" si="336"/>
        <v>2.2994327390599678</v>
      </c>
      <c r="AQ420" s="16">
        <f t="shared" si="336"/>
        <v>0.1012965964343598</v>
      </c>
      <c r="AR420" s="16">
        <f t="shared" si="336"/>
        <v>0.14181523500810375</v>
      </c>
      <c r="AS420" s="16">
        <f>SUM(AH420:AR420)</f>
        <v>100.00000000000001</v>
      </c>
      <c r="AT420" s="16">
        <f>AL420+0.899*AK420</f>
        <v>11.777066450567261</v>
      </c>
      <c r="AV420" s="1" t="s">
        <v>428</v>
      </c>
      <c r="AY420" s="41"/>
      <c r="AZ420" s="41"/>
      <c r="BA420" s="41">
        <v>316</v>
      </c>
      <c r="BB420" s="41"/>
      <c r="BC420" s="41">
        <v>127</v>
      </c>
      <c r="BD420" s="41"/>
      <c r="BE420" s="41">
        <v>40</v>
      </c>
      <c r="BF420" s="41"/>
      <c r="BG420" s="41">
        <v>74</v>
      </c>
      <c r="BH420" s="41"/>
      <c r="BI420" s="41">
        <v>202</v>
      </c>
      <c r="BJ420" s="41"/>
      <c r="BK420" s="41">
        <v>94</v>
      </c>
      <c r="BL420" s="41"/>
      <c r="BM420" s="41"/>
      <c r="BN420" s="41">
        <v>4</v>
      </c>
      <c r="BO420" s="41"/>
      <c r="BP420" s="41"/>
      <c r="BQ420" s="41">
        <v>186</v>
      </c>
      <c r="BR420" s="41"/>
      <c r="BS420" s="41">
        <v>29</v>
      </c>
      <c r="BT420" s="41"/>
      <c r="BU420" s="41">
        <v>94</v>
      </c>
      <c r="BV420" s="41"/>
      <c r="BW420" s="41">
        <v>6</v>
      </c>
      <c r="CB420" s="9">
        <v>4.9000000000000004</v>
      </c>
      <c r="CC420" s="9">
        <v>14.2</v>
      </c>
      <c r="CE420" s="9">
        <v>10.9</v>
      </c>
      <c r="CF420" s="9">
        <v>3.49</v>
      </c>
      <c r="CG420" s="9">
        <v>1.32</v>
      </c>
      <c r="CI420" s="9">
        <v>0.77</v>
      </c>
      <c r="CN420" s="9">
        <v>2.57</v>
      </c>
      <c r="CO420" s="9">
        <v>0.36</v>
      </c>
      <c r="CP420" s="9">
        <v>2.34</v>
      </c>
      <c r="CQ420" s="9">
        <v>0.33</v>
      </c>
      <c r="CS420" s="9">
        <v>0.52</v>
      </c>
    </row>
    <row r="421" spans="1:98">
      <c r="A421" s="1" t="s">
        <v>289</v>
      </c>
      <c r="B421" s="4" t="s">
        <v>290</v>
      </c>
      <c r="C421" s="1" t="s">
        <v>613</v>
      </c>
      <c r="D421" s="63">
        <v>67.22</v>
      </c>
      <c r="E421" s="63">
        <v>2.93</v>
      </c>
      <c r="F421" s="1" t="s">
        <v>308</v>
      </c>
      <c r="G421" s="1" t="s">
        <v>200</v>
      </c>
      <c r="H421" s="1" t="s">
        <v>141</v>
      </c>
      <c r="I421" s="9">
        <v>1020.9</v>
      </c>
      <c r="J421" s="38" t="s">
        <v>256</v>
      </c>
      <c r="L421" s="4" t="s">
        <v>426</v>
      </c>
      <c r="M421" s="78" t="s">
        <v>866</v>
      </c>
      <c r="N421" s="78"/>
      <c r="Q421" s="1" t="s">
        <v>312</v>
      </c>
      <c r="R421" s="4">
        <v>48.3</v>
      </c>
      <c r="S421" s="1">
        <v>1.82</v>
      </c>
      <c r="T421" s="1">
        <v>15.37</v>
      </c>
      <c r="U421" s="1">
        <v>6.69</v>
      </c>
      <c r="V421" s="1">
        <v>5.04</v>
      </c>
      <c r="W421" s="1">
        <v>0.28000000000000003</v>
      </c>
      <c r="X421" s="1">
        <v>8.16</v>
      </c>
      <c r="Y421" s="1">
        <v>8.25</v>
      </c>
      <c r="Z421" s="1">
        <v>2.88</v>
      </c>
      <c r="AA421" s="1">
        <v>0.21</v>
      </c>
      <c r="AB421" s="1">
        <v>0.18</v>
      </c>
      <c r="AC421" s="9">
        <v>2.7</v>
      </c>
      <c r="AD421" s="23">
        <f>SUM(R421:AB421)+AC421</f>
        <v>99.88</v>
      </c>
      <c r="AE421" s="21">
        <f>V421+0.899*U421</f>
        <v>11.054310000000001</v>
      </c>
      <c r="AF421" s="23">
        <f>(X421/40.3)/((X421/40.3)+(AE421/71.844))</f>
        <v>0.56821434137534133</v>
      </c>
      <c r="AH421" s="16">
        <f t="shared" si="336"/>
        <v>49.701584688207454</v>
      </c>
      <c r="AI421" s="16">
        <f t="shared" si="336"/>
        <v>1.8728133360773824</v>
      </c>
      <c r="AJ421" s="16">
        <f t="shared" si="336"/>
        <v>15.816011525005147</v>
      </c>
      <c r="AK421" s="16">
        <f t="shared" si="336"/>
        <v>6.8841325375591689</v>
      </c>
      <c r="AL421" s="16">
        <f t="shared" si="336"/>
        <v>5.1862523152912123</v>
      </c>
      <c r="AM421" s="16">
        <f t="shared" si="336"/>
        <v>0.28812512862728962</v>
      </c>
      <c r="AN421" s="16">
        <f t="shared" si="336"/>
        <v>8.3967894628524391</v>
      </c>
      <c r="AO421" s="16">
        <f t="shared" si="336"/>
        <v>8.4894011113397827</v>
      </c>
      <c r="AP421" s="16">
        <f t="shared" si="336"/>
        <v>2.9635727515949788</v>
      </c>
      <c r="AQ421" s="16">
        <f t="shared" si="336"/>
        <v>0.2160938464704672</v>
      </c>
      <c r="AR421" s="16">
        <f t="shared" si="336"/>
        <v>0.18522329697468617</v>
      </c>
      <c r="AS421" s="16">
        <f>SUM(AH421:AR421)</f>
        <v>100.00000000000001</v>
      </c>
      <c r="AT421" s="16">
        <f>AL421+0.899*AK421</f>
        <v>11.375087466556906</v>
      </c>
      <c r="AV421" s="1" t="s">
        <v>428</v>
      </c>
      <c r="AY421" s="41"/>
      <c r="AZ421" s="41"/>
      <c r="BA421" s="41">
        <v>347</v>
      </c>
      <c r="BB421" s="41"/>
      <c r="BC421" s="41">
        <v>253</v>
      </c>
      <c r="BD421" s="41"/>
      <c r="BE421" s="41">
        <v>43</v>
      </c>
      <c r="BF421" s="41"/>
      <c r="BG421" s="41">
        <v>112</v>
      </c>
      <c r="BH421" s="41"/>
      <c r="BI421" s="41">
        <v>351</v>
      </c>
      <c r="BJ421" s="41"/>
      <c r="BK421" s="41">
        <v>127</v>
      </c>
      <c r="BL421" s="41"/>
      <c r="BM421" s="41"/>
      <c r="BN421" s="41">
        <v>5</v>
      </c>
      <c r="BO421" s="41"/>
      <c r="BP421" s="41"/>
      <c r="BQ421" s="41">
        <v>181</v>
      </c>
      <c r="BR421" s="41"/>
      <c r="BS421" s="41">
        <v>23</v>
      </c>
      <c r="BT421" s="41"/>
      <c r="BU421" s="41">
        <v>114</v>
      </c>
      <c r="BV421" s="41"/>
      <c r="BW421" s="41">
        <v>3</v>
      </c>
    </row>
    <row r="422" spans="1:98">
      <c r="A422" s="1" t="s">
        <v>289</v>
      </c>
      <c r="B422" s="4" t="s">
        <v>290</v>
      </c>
      <c r="C422" s="1" t="s">
        <v>614</v>
      </c>
      <c r="D422" s="63">
        <v>67.22</v>
      </c>
      <c r="E422" s="63">
        <v>2.93</v>
      </c>
      <c r="F422" s="1" t="s">
        <v>308</v>
      </c>
      <c r="G422" s="1" t="s">
        <v>217</v>
      </c>
      <c r="H422" s="1" t="s">
        <v>141</v>
      </c>
      <c r="I422" s="9">
        <v>1024.3</v>
      </c>
      <c r="J422" s="38" t="s">
        <v>256</v>
      </c>
      <c r="L422" s="4" t="s">
        <v>426</v>
      </c>
      <c r="M422" s="78" t="s">
        <v>866</v>
      </c>
      <c r="N422" s="78"/>
      <c r="Q422" s="1" t="s">
        <v>312</v>
      </c>
      <c r="R422" s="4">
        <v>48.8</v>
      </c>
      <c r="S422" s="1">
        <v>1.71</v>
      </c>
      <c r="T422" s="1">
        <v>13.87</v>
      </c>
      <c r="U422" s="1">
        <v>6.51</v>
      </c>
      <c r="V422" s="1">
        <v>6.11</v>
      </c>
      <c r="W422" s="1">
        <v>0.19</v>
      </c>
      <c r="X422" s="1">
        <v>8</v>
      </c>
      <c r="Y422" s="1">
        <v>10.67</v>
      </c>
      <c r="Z422" s="1">
        <v>2.4</v>
      </c>
      <c r="AA422" s="1">
        <v>0.3</v>
      </c>
      <c r="AB422" s="1">
        <v>0.16</v>
      </c>
      <c r="AC422" s="9">
        <v>1.47</v>
      </c>
      <c r="AD422" s="23">
        <f>SUM(R422:AB422)+AC422</f>
        <v>100.19</v>
      </c>
      <c r="AE422" s="21">
        <f>V422+0.899*U422</f>
        <v>11.962489999999999</v>
      </c>
      <c r="AF422" s="23">
        <f>(X422/40.3)/((X422/40.3)+(AE422/71.844))</f>
        <v>0.54383994860862372</v>
      </c>
      <c r="AH422" s="16">
        <f t="shared" si="336"/>
        <v>49.432739059967588</v>
      </c>
      <c r="AI422" s="16">
        <f t="shared" si="336"/>
        <v>1.7321717990275527</v>
      </c>
      <c r="AJ422" s="16">
        <f t="shared" si="336"/>
        <v>14.049837925445706</v>
      </c>
      <c r="AK422" s="16">
        <f t="shared" si="336"/>
        <v>6.5944084278768234</v>
      </c>
      <c r="AL422" s="16">
        <f t="shared" si="336"/>
        <v>6.1892220421393844</v>
      </c>
      <c r="AM422" s="16">
        <f t="shared" si="336"/>
        <v>0.19246353322528365</v>
      </c>
      <c r="AN422" s="16">
        <f t="shared" si="336"/>
        <v>8.1037277147487838</v>
      </c>
      <c r="AO422" s="16">
        <f t="shared" si="336"/>
        <v>10.808346839546191</v>
      </c>
      <c r="AP422" s="16">
        <f t="shared" si="336"/>
        <v>2.4311183144246353</v>
      </c>
      <c r="AQ422" s="16">
        <f t="shared" si="336"/>
        <v>0.30388978930307942</v>
      </c>
      <c r="AR422" s="16">
        <f t="shared" si="336"/>
        <v>0.16207455429497569</v>
      </c>
      <c r="AS422" s="16">
        <f>SUM(AH422:AR422)</f>
        <v>100.00000000000001</v>
      </c>
      <c r="AT422" s="16">
        <f>AL422+0.899*AK422</f>
        <v>12.117595218800648</v>
      </c>
      <c r="AV422" s="1" t="s">
        <v>428</v>
      </c>
      <c r="AY422" s="41"/>
      <c r="AZ422" s="41"/>
      <c r="BA422" s="41">
        <v>339</v>
      </c>
      <c r="BB422" s="41"/>
      <c r="BC422" s="41">
        <v>240</v>
      </c>
      <c r="BD422" s="41"/>
      <c r="BE422" s="41">
        <v>46</v>
      </c>
      <c r="BF422" s="41"/>
      <c r="BG422" s="41">
        <v>117</v>
      </c>
      <c r="BH422" s="41"/>
      <c r="BI422" s="41">
        <v>253</v>
      </c>
      <c r="BJ422" s="41"/>
      <c r="BK422" s="41">
        <v>103</v>
      </c>
      <c r="BL422" s="41"/>
      <c r="BM422" s="41"/>
      <c r="BN422" s="41">
        <v>9</v>
      </c>
      <c r="BO422" s="41"/>
      <c r="BP422" s="41"/>
      <c r="BQ422" s="41">
        <v>159</v>
      </c>
      <c r="BR422" s="41"/>
      <c r="BS422" s="41">
        <v>30</v>
      </c>
      <c r="BT422" s="41"/>
      <c r="BU422" s="41">
        <v>108</v>
      </c>
      <c r="BV422" s="41"/>
      <c r="BW422" s="41">
        <v>6</v>
      </c>
    </row>
    <row r="423" spans="1:98">
      <c r="A423" s="1" t="s">
        <v>289</v>
      </c>
      <c r="B423" s="4" t="s">
        <v>290</v>
      </c>
      <c r="C423" s="40" t="s">
        <v>697</v>
      </c>
      <c r="D423" s="63">
        <v>67.22</v>
      </c>
      <c r="E423" s="63">
        <v>2.93</v>
      </c>
      <c r="F423" s="1" t="s">
        <v>308</v>
      </c>
      <c r="G423" s="4"/>
      <c r="H423" s="4"/>
      <c r="J423" s="38" t="s">
        <v>256</v>
      </c>
      <c r="K423" s="40"/>
      <c r="L423" s="4" t="s">
        <v>423</v>
      </c>
      <c r="M423" s="78" t="s">
        <v>867</v>
      </c>
      <c r="N423" s="78"/>
      <c r="O423" s="4"/>
      <c r="P423" s="4"/>
      <c r="Q423" s="4"/>
      <c r="AD423" s="23"/>
      <c r="AE423" s="23"/>
      <c r="AF423" s="23"/>
      <c r="AG423" s="45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45"/>
      <c r="AV423" s="4"/>
      <c r="AY423" s="39">
        <v>35.090000000000003</v>
      </c>
      <c r="BR423" s="39">
        <v>46.67</v>
      </c>
      <c r="BS423" s="39"/>
      <c r="BT423" s="39">
        <v>106.55</v>
      </c>
      <c r="BV423" s="39">
        <v>6.52</v>
      </c>
      <c r="BW423" s="39"/>
      <c r="CA423" s="39">
        <v>46.15</v>
      </c>
      <c r="CB423" s="39">
        <v>11.93</v>
      </c>
      <c r="CC423" s="39">
        <v>26.61</v>
      </c>
      <c r="CD423" s="39">
        <v>4.3600000000000003</v>
      </c>
      <c r="CE423" s="39">
        <v>20.32</v>
      </c>
      <c r="CF423" s="39">
        <v>5.86</v>
      </c>
      <c r="CG423" s="39">
        <v>1.95</v>
      </c>
      <c r="CH423" s="39">
        <v>7.42</v>
      </c>
      <c r="CI423" s="39">
        <v>1.31</v>
      </c>
      <c r="CJ423" s="39">
        <v>7.4</v>
      </c>
      <c r="CK423" s="39">
        <v>1.61</v>
      </c>
      <c r="CL423" s="39">
        <v>4.26</v>
      </c>
      <c r="CM423" s="39">
        <v>0.63</v>
      </c>
      <c r="CN423" s="39">
        <v>3.53</v>
      </c>
      <c r="CO423" s="39">
        <v>0.53</v>
      </c>
      <c r="CP423" s="39">
        <v>2.81</v>
      </c>
      <c r="CQ423" s="39">
        <v>0.39</v>
      </c>
      <c r="CR423" s="39">
        <v>2.15</v>
      </c>
      <c r="CS423" s="39"/>
      <c r="CT423" s="39">
        <v>0.13</v>
      </c>
    </row>
    <row r="424" spans="1:98">
      <c r="A424" s="1" t="s">
        <v>289</v>
      </c>
      <c r="B424" s="4" t="s">
        <v>290</v>
      </c>
      <c r="C424" s="40" t="s">
        <v>698</v>
      </c>
      <c r="D424" s="63">
        <v>67.22</v>
      </c>
      <c r="E424" s="63">
        <v>2.93</v>
      </c>
      <c r="F424" s="1" t="s">
        <v>308</v>
      </c>
      <c r="G424" s="4"/>
      <c r="H424" s="4"/>
      <c r="J424" s="38" t="s">
        <v>256</v>
      </c>
      <c r="K424" s="40"/>
      <c r="L424" s="4" t="s">
        <v>423</v>
      </c>
      <c r="M424" s="78" t="s">
        <v>867</v>
      </c>
      <c r="N424" s="78"/>
      <c r="O424" s="40"/>
      <c r="P424" s="4"/>
      <c r="Q424" s="4"/>
      <c r="R424" s="4">
        <v>53.78</v>
      </c>
      <c r="S424" s="4">
        <v>2.06</v>
      </c>
      <c r="T424" s="4">
        <v>11.42</v>
      </c>
      <c r="U424" s="4">
        <v>10.6</v>
      </c>
      <c r="W424" s="4">
        <v>0.34</v>
      </c>
      <c r="X424" s="4">
        <v>8.1300000000000008</v>
      </c>
      <c r="Y424" s="4">
        <v>10.79</v>
      </c>
      <c r="Z424" s="4">
        <v>2.57</v>
      </c>
      <c r="AA424" s="4">
        <v>0.15</v>
      </c>
      <c r="AB424" s="4">
        <v>0.14000000000000001</v>
      </c>
      <c r="AD424" s="23">
        <f>SUM(R424:AB424)+AC424</f>
        <v>99.98</v>
      </c>
      <c r="AE424" s="21">
        <f>V424+0.899*U424</f>
        <v>9.5294000000000008</v>
      </c>
      <c r="AF424" s="23">
        <f>(X424/40.3)/((X424/40.3)+(AE424/71.844))</f>
        <v>0.60332166908677032</v>
      </c>
      <c r="AG424" s="45"/>
      <c r="AH424" s="16">
        <f t="shared" ref="AH424:AR426" si="337">100*R424/SUM($R424:$AB424)</f>
        <v>53.790758151630321</v>
      </c>
      <c r="AI424" s="16">
        <f t="shared" si="337"/>
        <v>2.0604120824164833</v>
      </c>
      <c r="AJ424" s="16">
        <f t="shared" si="337"/>
        <v>11.422284456891378</v>
      </c>
      <c r="AK424" s="16">
        <f t="shared" si="337"/>
        <v>10.602120424084816</v>
      </c>
      <c r="AL424" s="16">
        <f t="shared" si="337"/>
        <v>0</v>
      </c>
      <c r="AM424" s="16">
        <f t="shared" si="337"/>
        <v>0.34006801360272054</v>
      </c>
      <c r="AN424" s="16">
        <f t="shared" si="337"/>
        <v>8.1316263252650547</v>
      </c>
      <c r="AO424" s="16">
        <f t="shared" si="337"/>
        <v>10.792158431686337</v>
      </c>
      <c r="AP424" s="16">
        <f t="shared" si="337"/>
        <v>2.5705141028205638</v>
      </c>
      <c r="AQ424" s="16">
        <f t="shared" si="337"/>
        <v>0.15003000600120023</v>
      </c>
      <c r="AR424" s="16">
        <f t="shared" si="337"/>
        <v>0.14002800560112025</v>
      </c>
      <c r="AS424" s="16">
        <f>SUM(AH424:AR424)</f>
        <v>100</v>
      </c>
      <c r="AT424" s="16">
        <f>AL424+0.899*AK424</f>
        <v>9.5313062612522508</v>
      </c>
      <c r="AU424" s="45"/>
      <c r="AV424" s="4"/>
      <c r="AY424" s="39">
        <v>28.02</v>
      </c>
      <c r="BR424" s="39">
        <v>30.07</v>
      </c>
      <c r="BS424" s="39"/>
      <c r="BT424" s="39">
        <v>114.43</v>
      </c>
      <c r="BV424" s="39">
        <v>6.54</v>
      </c>
      <c r="BW424" s="39"/>
      <c r="CA424" s="39">
        <v>7.03</v>
      </c>
      <c r="CB424" s="39">
        <v>7.1</v>
      </c>
      <c r="CC424" s="39">
        <v>17.5</v>
      </c>
      <c r="CD424" s="39">
        <v>2.41</v>
      </c>
      <c r="CE424" s="39">
        <v>12.75</v>
      </c>
      <c r="CF424" s="39">
        <v>3.75</v>
      </c>
      <c r="CG424" s="39">
        <v>1.27</v>
      </c>
      <c r="CH424" s="39">
        <v>4.59</v>
      </c>
      <c r="CI424" s="39">
        <v>0.88</v>
      </c>
      <c r="CJ424" s="39">
        <v>5.25</v>
      </c>
      <c r="CK424" s="39">
        <v>1.1200000000000001</v>
      </c>
      <c r="CL424" s="39">
        <v>3.19</v>
      </c>
      <c r="CM424" s="39">
        <v>0.51</v>
      </c>
      <c r="CN424" s="39">
        <v>2.99</v>
      </c>
      <c r="CO424" s="39">
        <v>0.44</v>
      </c>
      <c r="CP424" s="39">
        <v>3.21</v>
      </c>
      <c r="CQ424" s="39">
        <v>0.41</v>
      </c>
      <c r="CR424" s="39">
        <v>1.47</v>
      </c>
      <c r="CS424" s="39">
        <v>0.81</v>
      </c>
      <c r="CT424" s="39">
        <v>0.19</v>
      </c>
    </row>
    <row r="425" spans="1:98">
      <c r="A425" s="1" t="s">
        <v>289</v>
      </c>
      <c r="B425" s="4" t="s">
        <v>290</v>
      </c>
      <c r="C425" s="1" t="s">
        <v>615</v>
      </c>
      <c r="D425" s="63">
        <v>67.22</v>
      </c>
      <c r="E425" s="63">
        <v>2.93</v>
      </c>
      <c r="F425" s="1" t="s">
        <v>308</v>
      </c>
      <c r="G425" s="1" t="s">
        <v>207</v>
      </c>
      <c r="H425" s="1" t="s">
        <v>141</v>
      </c>
      <c r="I425" s="9">
        <v>1027.7</v>
      </c>
      <c r="J425" s="38" t="s">
        <v>256</v>
      </c>
      <c r="L425" s="4" t="s">
        <v>426</v>
      </c>
      <c r="M425" s="78" t="s">
        <v>866</v>
      </c>
      <c r="N425" s="78"/>
      <c r="Q425" s="1" t="s">
        <v>312</v>
      </c>
      <c r="R425" s="4">
        <v>48.6</v>
      </c>
      <c r="S425" s="1">
        <v>1.64</v>
      </c>
      <c r="T425" s="1">
        <v>15.19</v>
      </c>
      <c r="U425" s="1">
        <v>5.04</v>
      </c>
      <c r="V425" s="1">
        <v>6.33</v>
      </c>
      <c r="W425" s="1">
        <v>0.21</v>
      </c>
      <c r="X425" s="1">
        <v>7.42</v>
      </c>
      <c r="Y425" s="1">
        <v>11.1</v>
      </c>
      <c r="Z425" s="1">
        <v>2.36</v>
      </c>
      <c r="AA425" s="1">
        <v>0.21</v>
      </c>
      <c r="AB425" s="1">
        <v>0.16</v>
      </c>
      <c r="AC425" s="9">
        <v>1.67</v>
      </c>
      <c r="AD425" s="23">
        <f>SUM(R425:AB425)+AC425</f>
        <v>99.929999999999993</v>
      </c>
      <c r="AE425" s="21">
        <f>V425+0.899*U425</f>
        <v>10.86096</v>
      </c>
      <c r="AF425" s="23">
        <f>(X425/40.3)/((X425/40.3)+(AE425/71.844))</f>
        <v>0.5491284707914128</v>
      </c>
      <c r="AH425" s="16">
        <f t="shared" si="337"/>
        <v>49.460614695705274</v>
      </c>
      <c r="AI425" s="16">
        <f t="shared" si="337"/>
        <v>1.6690413189497253</v>
      </c>
      <c r="AJ425" s="16">
        <f t="shared" si="337"/>
        <v>15.458986362711176</v>
      </c>
      <c r="AK425" s="16">
        <f t="shared" si="337"/>
        <v>5.1292489314064733</v>
      </c>
      <c r="AL425" s="16">
        <f t="shared" si="337"/>
        <v>6.442092407897416</v>
      </c>
      <c r="AM425" s="16">
        <f t="shared" si="337"/>
        <v>0.21371870547526972</v>
      </c>
      <c r="AN425" s="16">
        <f t="shared" si="337"/>
        <v>7.5513942601261963</v>
      </c>
      <c r="AO425" s="16">
        <f t="shared" si="337"/>
        <v>11.29656014654997</v>
      </c>
      <c r="AP425" s="16">
        <f t="shared" si="337"/>
        <v>2.4017911662935072</v>
      </c>
      <c r="AQ425" s="16">
        <f t="shared" si="337"/>
        <v>0.21371870547526972</v>
      </c>
      <c r="AR425" s="16">
        <f t="shared" si="337"/>
        <v>0.16283329940972929</v>
      </c>
      <c r="AS425" s="16">
        <f>SUM(AH425:AR425)</f>
        <v>100.00000000000001</v>
      </c>
      <c r="AT425" s="16">
        <f>AL425+0.899*AK425</f>
        <v>11.053287197231835</v>
      </c>
      <c r="AV425" s="1" t="s">
        <v>428</v>
      </c>
      <c r="AY425" s="41">
        <v>42.3</v>
      </c>
      <c r="AZ425" s="41"/>
      <c r="BA425" s="41">
        <v>312</v>
      </c>
      <c r="BB425" s="41"/>
      <c r="BC425" s="41">
        <v>256</v>
      </c>
      <c r="BD425" s="41"/>
      <c r="BE425" s="41">
        <v>52.9</v>
      </c>
      <c r="BF425" s="41"/>
      <c r="BG425" s="41">
        <v>109</v>
      </c>
      <c r="BH425" s="41"/>
      <c r="BI425" s="41">
        <v>168</v>
      </c>
      <c r="BJ425" s="41"/>
      <c r="BK425" s="41">
        <v>98</v>
      </c>
      <c r="BL425" s="41"/>
      <c r="BM425" s="41"/>
      <c r="BN425" s="41">
        <v>3</v>
      </c>
      <c r="BO425" s="41"/>
      <c r="BP425" s="41"/>
      <c r="BQ425" s="41">
        <v>194</v>
      </c>
      <c r="BR425" s="41"/>
      <c r="BS425" s="41">
        <v>27</v>
      </c>
      <c r="BT425" s="41"/>
      <c r="BU425" s="41">
        <v>101</v>
      </c>
      <c r="BV425" s="41"/>
      <c r="BW425" s="41">
        <v>5</v>
      </c>
    </row>
    <row r="426" spans="1:98">
      <c r="A426" s="1" t="s">
        <v>289</v>
      </c>
      <c r="B426" s="4" t="s">
        <v>290</v>
      </c>
      <c r="C426" s="1" t="s">
        <v>616</v>
      </c>
      <c r="D426" s="63">
        <v>67.22</v>
      </c>
      <c r="E426" s="63">
        <v>2.93</v>
      </c>
      <c r="F426" s="1" t="s">
        <v>308</v>
      </c>
      <c r="G426" s="1" t="s">
        <v>161</v>
      </c>
      <c r="H426" s="1" t="s">
        <v>141</v>
      </c>
      <c r="I426" s="9">
        <v>1029.7</v>
      </c>
      <c r="J426" s="38" t="s">
        <v>256</v>
      </c>
      <c r="L426" s="4" t="s">
        <v>426</v>
      </c>
      <c r="M426" s="78" t="s">
        <v>866</v>
      </c>
      <c r="N426" s="78"/>
      <c r="Q426" s="1" t="s">
        <v>312</v>
      </c>
      <c r="R426" s="4">
        <v>48.3</v>
      </c>
      <c r="S426" s="1">
        <v>1.7</v>
      </c>
      <c r="T426" s="1">
        <v>14.12</v>
      </c>
      <c r="U426" s="1">
        <v>5.58</v>
      </c>
      <c r="V426" s="1">
        <v>6.56</v>
      </c>
      <c r="W426" s="1">
        <v>0.18</v>
      </c>
      <c r="X426" s="1">
        <v>7.53</v>
      </c>
      <c r="Y426" s="1">
        <v>11.6</v>
      </c>
      <c r="Z426" s="1">
        <v>2.33</v>
      </c>
      <c r="AA426" s="1">
        <v>0.1</v>
      </c>
      <c r="AB426" s="1">
        <v>0.16</v>
      </c>
      <c r="AC426" s="9">
        <v>1.25</v>
      </c>
      <c r="AD426" s="23">
        <f>SUM(R426:AB426)+AC426</f>
        <v>99.41</v>
      </c>
      <c r="AE426" s="21">
        <f>V426+0.899*U426</f>
        <v>11.576419999999999</v>
      </c>
      <c r="AF426" s="23">
        <f>(X426/40.3)/((X426/40.3)+(AE426/71.844))</f>
        <v>0.53695011518468183</v>
      </c>
      <c r="AH426" s="16">
        <f t="shared" si="337"/>
        <v>49.205378973105134</v>
      </c>
      <c r="AI426" s="16">
        <f t="shared" si="337"/>
        <v>1.7318663406682968</v>
      </c>
      <c r="AJ426" s="16">
        <f t="shared" si="337"/>
        <v>14.384678076609617</v>
      </c>
      <c r="AK426" s="16">
        <f t="shared" si="337"/>
        <v>5.684596577017115</v>
      </c>
      <c r="AL426" s="16">
        <f t="shared" si="337"/>
        <v>6.6829665851670743</v>
      </c>
      <c r="AM426" s="16">
        <f t="shared" si="337"/>
        <v>0.18337408312958436</v>
      </c>
      <c r="AN426" s="16">
        <f t="shared" si="337"/>
        <v>7.6711491442542794</v>
      </c>
      <c r="AO426" s="16">
        <f t="shared" si="337"/>
        <v>11.817440912795437</v>
      </c>
      <c r="AP426" s="16">
        <f t="shared" si="337"/>
        <v>2.3736756316218419</v>
      </c>
      <c r="AQ426" s="16">
        <f t="shared" si="337"/>
        <v>0.10187449062754686</v>
      </c>
      <c r="AR426" s="16">
        <f t="shared" si="337"/>
        <v>0.16299918500407498</v>
      </c>
      <c r="AS426" s="16">
        <f>SUM(AH426:AR426)</f>
        <v>99.999999999999986</v>
      </c>
      <c r="AT426" s="16">
        <f>AL426+0.899*AK426</f>
        <v>11.793418907905462</v>
      </c>
      <c r="AV426" s="1" t="s">
        <v>428</v>
      </c>
      <c r="AY426" s="41">
        <v>50.4</v>
      </c>
      <c r="AZ426" s="41"/>
      <c r="BA426" s="41">
        <v>376</v>
      </c>
      <c r="BB426" s="41"/>
      <c r="BC426" s="41">
        <v>148</v>
      </c>
      <c r="BD426" s="41"/>
      <c r="BE426" s="41">
        <v>60.7</v>
      </c>
      <c r="BF426" s="41"/>
      <c r="BG426" s="41">
        <v>83</v>
      </c>
      <c r="BH426" s="41"/>
      <c r="BI426" s="41">
        <v>70</v>
      </c>
      <c r="BJ426" s="41"/>
      <c r="BK426" s="41">
        <v>106</v>
      </c>
      <c r="BL426" s="41"/>
      <c r="BM426" s="41"/>
      <c r="BN426" s="41">
        <v>6</v>
      </c>
      <c r="BO426" s="41"/>
      <c r="BP426" s="41"/>
      <c r="BQ426" s="41">
        <v>175</v>
      </c>
      <c r="BR426" s="41"/>
      <c r="BS426" s="41">
        <v>31</v>
      </c>
      <c r="BT426" s="41"/>
      <c r="BU426" s="41">
        <v>97</v>
      </c>
      <c r="BV426" s="41"/>
      <c r="BW426" s="41">
        <v>5</v>
      </c>
      <c r="CB426" s="9">
        <v>6.4</v>
      </c>
      <c r="CC426" s="9">
        <v>17.3</v>
      </c>
      <c r="CE426" s="9">
        <v>13.5</v>
      </c>
      <c r="CF426" s="9">
        <v>4.07</v>
      </c>
      <c r="CG426" s="9">
        <v>1.51</v>
      </c>
      <c r="CI426" s="9">
        <v>0.89</v>
      </c>
      <c r="CN426" s="9">
        <v>2.68</v>
      </c>
      <c r="CO426" s="9">
        <v>0.39</v>
      </c>
      <c r="CP426" s="9">
        <v>2.76</v>
      </c>
      <c r="CQ426" s="9">
        <v>0.45</v>
      </c>
      <c r="CS426" s="9">
        <v>0.64</v>
      </c>
    </row>
    <row r="427" spans="1:98">
      <c r="A427" s="1" t="s">
        <v>289</v>
      </c>
      <c r="B427" s="4" t="s">
        <v>290</v>
      </c>
      <c r="C427" s="40" t="s">
        <v>699</v>
      </c>
      <c r="D427" s="63">
        <v>67.22</v>
      </c>
      <c r="E427" s="63">
        <v>2.93</v>
      </c>
      <c r="F427" s="1" t="s">
        <v>308</v>
      </c>
      <c r="G427" s="4"/>
      <c r="H427" s="4"/>
      <c r="J427" s="38" t="s">
        <v>256</v>
      </c>
      <c r="K427" s="40"/>
      <c r="L427" s="4" t="s">
        <v>423</v>
      </c>
      <c r="M427" s="78" t="s">
        <v>867</v>
      </c>
      <c r="N427" s="78"/>
      <c r="O427" s="4"/>
      <c r="P427" s="4"/>
      <c r="Q427" s="4"/>
      <c r="AD427" s="23"/>
      <c r="AE427" s="23"/>
      <c r="AF427" s="23"/>
      <c r="AG427" s="45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45"/>
      <c r="AV427" s="4"/>
      <c r="AY427" s="39">
        <v>35.69</v>
      </c>
      <c r="BR427" s="39">
        <v>26.7</v>
      </c>
      <c r="BS427" s="39"/>
      <c r="BT427" s="39">
        <v>120.54</v>
      </c>
      <c r="BV427" s="39">
        <v>6.88</v>
      </c>
      <c r="BW427" s="39"/>
      <c r="CA427" s="39">
        <v>64.33</v>
      </c>
      <c r="CB427" s="39">
        <v>6.64</v>
      </c>
      <c r="CC427" s="39">
        <v>16.59</v>
      </c>
      <c r="CD427" s="39">
        <v>2.78</v>
      </c>
      <c r="CE427" s="39">
        <v>12.84</v>
      </c>
      <c r="CF427" s="39">
        <v>3.74</v>
      </c>
      <c r="CG427" s="39">
        <v>1.33</v>
      </c>
      <c r="CH427" s="39">
        <v>4.51</v>
      </c>
      <c r="CI427" s="39">
        <v>0.84</v>
      </c>
      <c r="CJ427" s="39">
        <v>4.76</v>
      </c>
      <c r="CK427" s="39">
        <v>1</v>
      </c>
      <c r="CL427" s="39">
        <v>2.73</v>
      </c>
      <c r="CM427" s="39">
        <v>0.42</v>
      </c>
      <c r="CN427" s="39">
        <v>2.54</v>
      </c>
      <c r="CO427" s="39">
        <v>0.38</v>
      </c>
      <c r="CP427" s="39">
        <v>2.97</v>
      </c>
      <c r="CQ427" s="39">
        <v>0.42</v>
      </c>
      <c r="CR427" s="39">
        <v>1.29</v>
      </c>
      <c r="CS427" s="39">
        <v>0.22</v>
      </c>
      <c r="CT427" s="39">
        <v>0.19</v>
      </c>
    </row>
    <row r="428" spans="1:98">
      <c r="A428" s="1" t="s">
        <v>289</v>
      </c>
      <c r="B428" s="4" t="s">
        <v>290</v>
      </c>
      <c r="C428" s="40" t="s">
        <v>700</v>
      </c>
      <c r="D428" s="63">
        <v>67.22</v>
      </c>
      <c r="E428" s="63">
        <v>2.93</v>
      </c>
      <c r="F428" s="1" t="s">
        <v>308</v>
      </c>
      <c r="G428" s="4"/>
      <c r="H428" s="4"/>
      <c r="J428" s="40" t="s">
        <v>256</v>
      </c>
      <c r="K428" s="40"/>
      <c r="L428" s="4" t="s">
        <v>423</v>
      </c>
      <c r="M428" s="78" t="s">
        <v>867</v>
      </c>
      <c r="N428" s="78"/>
      <c r="O428" s="4"/>
      <c r="P428" s="4"/>
      <c r="Q428" s="4"/>
      <c r="AD428" s="23"/>
      <c r="AE428" s="23"/>
      <c r="AF428" s="23"/>
      <c r="AG428" s="45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45"/>
      <c r="AV428" s="4"/>
      <c r="AY428" s="39">
        <v>38.44</v>
      </c>
      <c r="BR428" s="39">
        <v>32.880000000000003</v>
      </c>
      <c r="BS428" s="39"/>
      <c r="BT428" s="39">
        <v>95.08</v>
      </c>
      <c r="BV428" s="39">
        <v>6.35</v>
      </c>
      <c r="BW428" s="39"/>
      <c r="CA428" s="39">
        <v>28.62</v>
      </c>
      <c r="CB428" s="39">
        <v>4.4000000000000004</v>
      </c>
      <c r="CC428" s="39">
        <v>16.079999999999998</v>
      </c>
      <c r="CD428" s="39">
        <v>2.38</v>
      </c>
      <c r="CE428" s="39">
        <v>12.5</v>
      </c>
      <c r="CF428" s="39">
        <v>3.84</v>
      </c>
      <c r="CG428" s="39">
        <v>1.39</v>
      </c>
      <c r="CH428" s="39">
        <v>4.79</v>
      </c>
      <c r="CI428" s="39">
        <v>0.87</v>
      </c>
      <c r="CJ428" s="39">
        <v>5.53</v>
      </c>
      <c r="CK428" s="39">
        <v>1.1599999999999999</v>
      </c>
      <c r="CL428" s="39">
        <v>3.27</v>
      </c>
      <c r="CM428" s="39">
        <v>0.49</v>
      </c>
      <c r="CN428" s="39">
        <v>2.93</v>
      </c>
      <c r="CO428" s="39">
        <v>0.44</v>
      </c>
      <c r="CP428" s="39">
        <v>2.62</v>
      </c>
      <c r="CQ428" s="39">
        <v>0.64</v>
      </c>
      <c r="CR428" s="39">
        <v>1.98</v>
      </c>
      <c r="CS428" s="39">
        <v>0.39</v>
      </c>
      <c r="CT428" s="39">
        <v>0.12</v>
      </c>
    </row>
    <row r="429" spans="1:98">
      <c r="A429" s="1" t="s">
        <v>289</v>
      </c>
      <c r="B429" s="4" t="s">
        <v>290</v>
      </c>
      <c r="C429" s="1" t="s">
        <v>617</v>
      </c>
      <c r="D429" s="63">
        <v>67.22</v>
      </c>
      <c r="E429" s="63">
        <v>2.93</v>
      </c>
      <c r="F429" s="1" t="s">
        <v>308</v>
      </c>
      <c r="G429" s="1" t="s">
        <v>203</v>
      </c>
      <c r="H429" s="1" t="s">
        <v>141</v>
      </c>
      <c r="I429" s="9">
        <v>1043.8</v>
      </c>
      <c r="J429" s="38" t="s">
        <v>256</v>
      </c>
      <c r="L429" s="4" t="s">
        <v>426</v>
      </c>
      <c r="M429" s="78" t="s">
        <v>866</v>
      </c>
      <c r="N429" s="78"/>
      <c r="Q429" s="1" t="s">
        <v>312</v>
      </c>
      <c r="R429" s="4">
        <v>48.8</v>
      </c>
      <c r="S429" s="1">
        <v>1.4</v>
      </c>
      <c r="T429" s="1">
        <v>14.56</v>
      </c>
      <c r="U429" s="1">
        <v>5.91</v>
      </c>
      <c r="V429" s="1">
        <v>4.78</v>
      </c>
      <c r="W429" s="1">
        <v>0.23</v>
      </c>
      <c r="X429" s="1">
        <v>8.5399999999999991</v>
      </c>
      <c r="Y429" s="1">
        <v>11.83</v>
      </c>
      <c r="Z429" s="1">
        <v>2.17</v>
      </c>
      <c r="AA429" s="1">
        <v>0.15</v>
      </c>
      <c r="AB429" s="1">
        <v>0.12</v>
      </c>
      <c r="AC429" s="9">
        <v>1.76</v>
      </c>
      <c r="AD429" s="23">
        <f>SUM(R429:AB429)+AC429</f>
        <v>100.25000000000001</v>
      </c>
      <c r="AE429" s="21">
        <f>V429+0.899*U429</f>
        <v>10.09309</v>
      </c>
      <c r="AF429" s="23">
        <f>(X429/40.3)/((X429/40.3)+(AE429/71.844))</f>
        <v>0.60134096712350238</v>
      </c>
      <c r="AH429" s="16">
        <f t="shared" ref="AH429:AR430" si="338">100*R429/SUM($R429:$AB429)</f>
        <v>49.548177479947199</v>
      </c>
      <c r="AI429" s="16">
        <f t="shared" si="338"/>
        <v>1.421464108031272</v>
      </c>
      <c r="AJ429" s="16">
        <f t="shared" si="338"/>
        <v>14.78322672352523</v>
      </c>
      <c r="AK429" s="16">
        <f t="shared" si="338"/>
        <v>6.0006091989034411</v>
      </c>
      <c r="AL429" s="16">
        <f t="shared" si="338"/>
        <v>4.8532845974210579</v>
      </c>
      <c r="AM429" s="16">
        <f t="shared" si="338"/>
        <v>0.23352624631942326</v>
      </c>
      <c r="AN429" s="16">
        <f t="shared" si="338"/>
        <v>8.6709310589907584</v>
      </c>
      <c r="AO429" s="16">
        <f t="shared" si="338"/>
        <v>12.01137171286425</v>
      </c>
      <c r="AP429" s="16">
        <f t="shared" si="338"/>
        <v>2.2032693674484718</v>
      </c>
      <c r="AQ429" s="16">
        <f t="shared" si="338"/>
        <v>0.15229972586049342</v>
      </c>
      <c r="AR429" s="16">
        <f t="shared" si="338"/>
        <v>0.12183978068839475</v>
      </c>
      <c r="AS429" s="16">
        <f>SUM(AH429:AR429)</f>
        <v>99.999999999999986</v>
      </c>
      <c r="AT429" s="16">
        <f>AL429+0.899*AK429</f>
        <v>10.247832267235252</v>
      </c>
      <c r="AV429" s="1" t="s">
        <v>428</v>
      </c>
      <c r="AY429" s="41"/>
      <c r="AZ429" s="41"/>
      <c r="BA429" s="41">
        <v>311</v>
      </c>
      <c r="BB429" s="41"/>
      <c r="BC429" s="41">
        <v>315</v>
      </c>
      <c r="BD429" s="41"/>
      <c r="BE429" s="41">
        <v>41</v>
      </c>
      <c r="BF429" s="41"/>
      <c r="BG429" s="41">
        <v>118</v>
      </c>
      <c r="BH429" s="41"/>
      <c r="BI429" s="41">
        <v>133</v>
      </c>
      <c r="BJ429" s="41"/>
      <c r="BK429" s="41">
        <v>90</v>
      </c>
      <c r="BL429" s="41"/>
      <c r="BM429" s="41"/>
      <c r="BN429" s="41">
        <v>6</v>
      </c>
      <c r="BO429" s="41"/>
      <c r="BP429" s="41"/>
      <c r="BQ429" s="41">
        <v>160</v>
      </c>
      <c r="BR429" s="41"/>
      <c r="BS429" s="41">
        <v>28</v>
      </c>
      <c r="BT429" s="41"/>
      <c r="BU429" s="41">
        <v>85</v>
      </c>
      <c r="BV429" s="41"/>
      <c r="BW429" s="41">
        <v>6</v>
      </c>
    </row>
    <row r="430" spans="1:98">
      <c r="A430" s="1" t="s">
        <v>289</v>
      </c>
      <c r="B430" s="4" t="s">
        <v>290</v>
      </c>
      <c r="C430" s="1" t="s">
        <v>618</v>
      </c>
      <c r="D430" s="63">
        <v>67.22</v>
      </c>
      <c r="E430" s="63">
        <v>2.93</v>
      </c>
      <c r="F430" s="1" t="s">
        <v>308</v>
      </c>
      <c r="G430" s="1" t="s">
        <v>183</v>
      </c>
      <c r="H430" s="1" t="s">
        <v>141</v>
      </c>
      <c r="I430" s="9">
        <v>1045.2</v>
      </c>
      <c r="J430" s="38" t="s">
        <v>256</v>
      </c>
      <c r="L430" s="4" t="s">
        <v>426</v>
      </c>
      <c r="M430" s="78" t="s">
        <v>866</v>
      </c>
      <c r="N430" s="78"/>
      <c r="Q430" s="1" t="s">
        <v>312</v>
      </c>
      <c r="R430" s="4">
        <v>48.5</v>
      </c>
      <c r="S430" s="1">
        <v>1.58</v>
      </c>
      <c r="T430" s="1">
        <v>15.52</v>
      </c>
      <c r="U430" s="1">
        <v>5.92</v>
      </c>
      <c r="V430" s="1">
        <v>4.67</v>
      </c>
      <c r="W430" s="1">
        <v>0.34</v>
      </c>
      <c r="X430" s="1">
        <v>7.79</v>
      </c>
      <c r="Y430" s="1">
        <v>11.49</v>
      </c>
      <c r="Z430" s="1">
        <v>2.44</v>
      </c>
      <c r="AA430" s="1">
        <v>0.14000000000000001</v>
      </c>
      <c r="AB430" s="1">
        <v>0.15</v>
      </c>
      <c r="AC430" s="9">
        <v>2</v>
      </c>
      <c r="AD430" s="23">
        <f>SUM(R430:AB430)+AC430</f>
        <v>100.54</v>
      </c>
      <c r="AE430" s="21">
        <f>V430+0.899*U430</f>
        <v>9.9920799999999996</v>
      </c>
      <c r="AF430" s="23">
        <f>(X430/40.3)/((X430/40.3)+(AE430/71.844))</f>
        <v>0.58156318198473711</v>
      </c>
      <c r="AH430" s="16">
        <f t="shared" si="338"/>
        <v>49.21859143495027</v>
      </c>
      <c r="AI430" s="16">
        <f t="shared" si="338"/>
        <v>1.6034097828293077</v>
      </c>
      <c r="AJ430" s="16">
        <f t="shared" si="338"/>
        <v>15.749949259184087</v>
      </c>
      <c r="AK430" s="16">
        <f t="shared" si="338"/>
        <v>6.0077126040186721</v>
      </c>
      <c r="AL430" s="16">
        <f t="shared" si="338"/>
        <v>4.7391922062106753</v>
      </c>
      <c r="AM430" s="16">
        <f t="shared" si="338"/>
        <v>0.34503754820377508</v>
      </c>
      <c r="AN430" s="16">
        <f t="shared" si="338"/>
        <v>7.9054191191394354</v>
      </c>
      <c r="AO430" s="16">
        <f t="shared" si="338"/>
        <v>11.660239496651105</v>
      </c>
      <c r="AP430" s="16">
        <f t="shared" si="338"/>
        <v>2.4761518165212095</v>
      </c>
      <c r="AQ430" s="16">
        <f t="shared" si="338"/>
        <v>0.14207428455449564</v>
      </c>
      <c r="AR430" s="16">
        <f t="shared" si="338"/>
        <v>0.15222244773695959</v>
      </c>
      <c r="AS430" s="16">
        <f>SUM(AH430:AR430)</f>
        <v>100</v>
      </c>
      <c r="AT430" s="16">
        <f>AL430+0.899*AK430</f>
        <v>10.140125837223462</v>
      </c>
      <c r="AV430" s="1" t="s">
        <v>428</v>
      </c>
      <c r="AY430" s="41"/>
      <c r="AZ430" s="41"/>
      <c r="BA430" s="41">
        <v>344</v>
      </c>
      <c r="BB430" s="41"/>
      <c r="BC430" s="41">
        <v>304</v>
      </c>
      <c r="BD430" s="41"/>
      <c r="BE430" s="41">
        <v>38</v>
      </c>
      <c r="BF430" s="41"/>
      <c r="BG430" s="41">
        <v>123</v>
      </c>
      <c r="BH430" s="41"/>
      <c r="BI430" s="41">
        <v>264</v>
      </c>
      <c r="BJ430" s="41"/>
      <c r="BK430" s="41">
        <v>114</v>
      </c>
      <c r="BL430" s="41"/>
      <c r="BM430" s="41"/>
      <c r="BN430" s="41">
        <v>5</v>
      </c>
      <c r="BO430" s="41"/>
      <c r="BP430" s="41"/>
      <c r="BQ430" s="41">
        <v>176</v>
      </c>
      <c r="BR430" s="41"/>
      <c r="BS430" s="41">
        <v>24</v>
      </c>
      <c r="BT430" s="41"/>
      <c r="BU430" s="41">
        <v>95</v>
      </c>
      <c r="BV430" s="41"/>
      <c r="BW430" s="41">
        <v>3</v>
      </c>
    </row>
    <row r="431" spans="1:98">
      <c r="A431" s="1" t="s">
        <v>289</v>
      </c>
      <c r="B431" s="4" t="s">
        <v>290</v>
      </c>
      <c r="C431" s="40" t="s">
        <v>701</v>
      </c>
      <c r="D431" s="63">
        <v>67.22</v>
      </c>
      <c r="E431" s="63">
        <v>2.93</v>
      </c>
      <c r="F431" s="1" t="s">
        <v>308</v>
      </c>
      <c r="G431" s="4"/>
      <c r="H431" s="4"/>
      <c r="J431" s="40" t="s">
        <v>256</v>
      </c>
      <c r="K431" s="40"/>
      <c r="L431" s="4" t="s">
        <v>423</v>
      </c>
      <c r="M431" s="78" t="s">
        <v>867</v>
      </c>
      <c r="N431" s="78"/>
      <c r="O431" s="4"/>
      <c r="P431" s="4"/>
      <c r="Q431" s="4"/>
      <c r="AD431" s="23"/>
      <c r="AE431" s="23"/>
      <c r="AF431" s="23"/>
      <c r="AG431" s="45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45"/>
      <c r="AV431" s="4"/>
      <c r="AY431" s="39">
        <v>30.76</v>
      </c>
      <c r="BR431" s="39">
        <v>21.87</v>
      </c>
      <c r="BS431" s="39"/>
      <c r="BT431" s="39">
        <v>56.17</v>
      </c>
      <c r="BV431" s="39">
        <v>3.68</v>
      </c>
      <c r="BW431" s="39"/>
      <c r="CA431" s="39">
        <v>24.31</v>
      </c>
      <c r="CB431" s="39">
        <v>8.99</v>
      </c>
      <c r="CC431" s="39">
        <v>9.16</v>
      </c>
      <c r="CD431" s="39">
        <v>1.42</v>
      </c>
      <c r="CE431" s="39">
        <v>7.72</v>
      </c>
      <c r="CF431" s="39">
        <v>2.5</v>
      </c>
      <c r="CG431" s="39">
        <v>0.95</v>
      </c>
      <c r="CH431" s="39">
        <v>3.2</v>
      </c>
      <c r="CI431" s="39">
        <v>0.59</v>
      </c>
      <c r="CJ431" s="39">
        <v>3.76</v>
      </c>
      <c r="CK431" s="39">
        <v>0.81</v>
      </c>
      <c r="CL431" s="39">
        <v>2.2799999999999998</v>
      </c>
      <c r="CM431" s="39">
        <v>0.35</v>
      </c>
      <c r="CN431" s="39">
        <v>2.14</v>
      </c>
      <c r="CO431" s="39">
        <v>0.34</v>
      </c>
      <c r="CP431" s="39">
        <v>1.66</v>
      </c>
      <c r="CQ431" s="39">
        <v>1.55</v>
      </c>
      <c r="CR431" s="39">
        <v>4.0999999999999996</v>
      </c>
      <c r="CS431" s="39">
        <v>0.16</v>
      </c>
      <c r="CT431" s="39">
        <v>7.0000000000000007E-2</v>
      </c>
    </row>
    <row r="432" spans="1:98">
      <c r="A432" s="1" t="s">
        <v>289</v>
      </c>
      <c r="B432" s="4" t="s">
        <v>290</v>
      </c>
      <c r="C432" s="40" t="s">
        <v>702</v>
      </c>
      <c r="D432" s="63">
        <v>67.22</v>
      </c>
      <c r="E432" s="63">
        <v>2.93</v>
      </c>
      <c r="F432" s="1" t="s">
        <v>308</v>
      </c>
      <c r="G432" s="4"/>
      <c r="H432" s="4"/>
      <c r="J432" s="38" t="s">
        <v>256</v>
      </c>
      <c r="K432" s="40"/>
      <c r="L432" s="4" t="s">
        <v>423</v>
      </c>
      <c r="M432" s="78" t="s">
        <v>867</v>
      </c>
      <c r="N432" s="78"/>
      <c r="O432" s="4"/>
      <c r="P432" s="4"/>
      <c r="Q432" s="4"/>
      <c r="AD432" s="23"/>
      <c r="AE432" s="23"/>
      <c r="AF432" s="23"/>
      <c r="AG432" s="45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45"/>
      <c r="AV432" s="4"/>
      <c r="AY432" s="39"/>
      <c r="BR432" s="39">
        <v>37.79</v>
      </c>
      <c r="BS432" s="39"/>
      <c r="BT432" s="39">
        <v>117.28</v>
      </c>
      <c r="BV432" s="39">
        <v>7.59</v>
      </c>
      <c r="BW432" s="39"/>
      <c r="CA432" s="39">
        <v>36.79</v>
      </c>
      <c r="CB432" s="39">
        <v>8.4700000000000006</v>
      </c>
      <c r="CC432" s="39">
        <v>20.27</v>
      </c>
      <c r="CD432" s="39">
        <v>3</v>
      </c>
      <c r="CE432" s="39">
        <v>15.99</v>
      </c>
      <c r="CF432" s="39">
        <v>4.88</v>
      </c>
      <c r="CG432" s="39">
        <v>1.68</v>
      </c>
      <c r="CH432" s="39">
        <v>5.91</v>
      </c>
      <c r="CI432" s="39">
        <v>1.08</v>
      </c>
      <c r="CJ432" s="39">
        <v>6.91</v>
      </c>
      <c r="CK432" s="39">
        <v>1.46</v>
      </c>
      <c r="CL432" s="39">
        <v>4.09</v>
      </c>
      <c r="CM432" s="39">
        <v>0.64</v>
      </c>
      <c r="CN432" s="39">
        <v>3.63</v>
      </c>
      <c r="CO432" s="39">
        <v>0.54</v>
      </c>
      <c r="CP432" s="39">
        <v>3.23</v>
      </c>
      <c r="CQ432" s="39">
        <v>0.44</v>
      </c>
      <c r="CR432" s="39">
        <v>0.82</v>
      </c>
      <c r="CS432" s="39">
        <v>0.06</v>
      </c>
      <c r="CT432" s="39">
        <v>0.11</v>
      </c>
    </row>
    <row r="433" spans="1:98">
      <c r="A433" s="1" t="s">
        <v>289</v>
      </c>
      <c r="B433" s="4" t="s">
        <v>290</v>
      </c>
      <c r="C433" s="1" t="s">
        <v>619</v>
      </c>
      <c r="D433" s="63">
        <v>67.22</v>
      </c>
      <c r="E433" s="63">
        <v>2.93</v>
      </c>
      <c r="F433" s="1" t="s">
        <v>308</v>
      </c>
      <c r="G433" s="1" t="s">
        <v>173</v>
      </c>
      <c r="H433" s="1" t="s">
        <v>174</v>
      </c>
      <c r="I433" s="9">
        <v>1050.8</v>
      </c>
      <c r="J433" s="38" t="s">
        <v>256</v>
      </c>
      <c r="L433" s="4" t="s">
        <v>426</v>
      </c>
      <c r="M433" s="78" t="s">
        <v>866</v>
      </c>
      <c r="N433" s="78"/>
      <c r="Q433" s="1" t="s">
        <v>312</v>
      </c>
      <c r="R433" s="4">
        <v>48.6</v>
      </c>
      <c r="S433" s="1">
        <v>1.26</v>
      </c>
      <c r="T433" s="1">
        <v>15.2</v>
      </c>
      <c r="U433" s="1">
        <v>4.01</v>
      </c>
      <c r="V433" s="1">
        <v>6.38</v>
      </c>
      <c r="W433" s="1">
        <v>0.18</v>
      </c>
      <c r="X433" s="1">
        <v>8.6199999999999992</v>
      </c>
      <c r="Y433" s="1">
        <v>12.16</v>
      </c>
      <c r="Z433" s="1">
        <v>1.79</v>
      </c>
      <c r="AA433" s="1">
        <v>0.09</v>
      </c>
      <c r="AB433" s="1">
        <v>0.11</v>
      </c>
      <c r="AC433" s="9">
        <v>1.88</v>
      </c>
      <c r="AD433" s="23">
        <f>SUM(R433:AB433)+AC433</f>
        <v>100.28000000000002</v>
      </c>
      <c r="AE433" s="21">
        <f>V433+0.899*U433</f>
        <v>9.9849899999999998</v>
      </c>
      <c r="AF433" s="23">
        <f>(X433/40.3)/((X433/40.3)+(AE433/71.844))</f>
        <v>0.60614770770225235</v>
      </c>
      <c r="AH433" s="16">
        <f t="shared" ref="AH433:AR434" si="339">100*R433/SUM($R433:$AB433)</f>
        <v>49.390243902439018</v>
      </c>
      <c r="AI433" s="16">
        <f t="shared" si="339"/>
        <v>1.2804878048780486</v>
      </c>
      <c r="AJ433" s="16">
        <f t="shared" si="339"/>
        <v>15.447154471544712</v>
      </c>
      <c r="AK433" s="16">
        <f t="shared" si="339"/>
        <v>4.0752032520325194</v>
      </c>
      <c r="AL433" s="16">
        <f t="shared" si="339"/>
        <v>6.4837398373983728</v>
      </c>
      <c r="AM433" s="16">
        <f t="shared" si="339"/>
        <v>0.18292682926829265</v>
      </c>
      <c r="AN433" s="16">
        <f t="shared" si="339"/>
        <v>8.7601626016260141</v>
      </c>
      <c r="AO433" s="16">
        <f t="shared" si="339"/>
        <v>12.35772357723577</v>
      </c>
      <c r="AP433" s="16">
        <f t="shared" si="339"/>
        <v>1.8191056910569101</v>
      </c>
      <c r="AQ433" s="16">
        <f t="shared" si="339"/>
        <v>9.1463414634146326E-2</v>
      </c>
      <c r="AR433" s="16">
        <f t="shared" si="339"/>
        <v>0.11178861788617885</v>
      </c>
      <c r="AS433" s="16">
        <f>SUM(AH433:AR433)</f>
        <v>100</v>
      </c>
      <c r="AT433" s="16">
        <f>AL433+0.899*AK433</f>
        <v>10.147347560975607</v>
      </c>
      <c r="AV433" s="1" t="s">
        <v>428</v>
      </c>
      <c r="AY433" s="41">
        <v>44.5</v>
      </c>
      <c r="AZ433" s="41"/>
      <c r="BA433" s="41">
        <v>303</v>
      </c>
      <c r="BB433" s="41"/>
      <c r="BC433" s="41">
        <v>303</v>
      </c>
      <c r="BD433" s="41"/>
      <c r="BE433" s="41">
        <v>147</v>
      </c>
      <c r="BF433" s="41"/>
      <c r="BG433" s="41">
        <v>110</v>
      </c>
      <c r="BH433" s="41"/>
      <c r="BI433" s="41">
        <v>150</v>
      </c>
      <c r="BJ433" s="41"/>
      <c r="BK433" s="41">
        <v>82</v>
      </c>
      <c r="BL433" s="41"/>
      <c r="BM433" s="41"/>
      <c r="BN433" s="41">
        <v>2</v>
      </c>
      <c r="BO433" s="41"/>
      <c r="BP433" s="41"/>
      <c r="BQ433" s="41">
        <v>164</v>
      </c>
      <c r="BR433" s="41"/>
      <c r="BS433" s="41">
        <v>22</v>
      </c>
      <c r="BT433" s="41"/>
      <c r="BU433" s="41">
        <v>69</v>
      </c>
      <c r="BV433" s="41"/>
      <c r="BW433" s="41">
        <v>4</v>
      </c>
      <c r="CB433" s="9">
        <v>4.4000000000000004</v>
      </c>
      <c r="CC433" s="9">
        <v>12</v>
      </c>
      <c r="CE433" s="9">
        <v>8.5</v>
      </c>
      <c r="CF433" s="9">
        <v>2.87</v>
      </c>
      <c r="CG433" s="9">
        <v>1.1399999999999999</v>
      </c>
      <c r="CI433" s="9">
        <v>0.62</v>
      </c>
      <c r="CN433" s="9">
        <v>2.09</v>
      </c>
      <c r="CO433" s="9">
        <v>0.3</v>
      </c>
      <c r="CP433" s="9">
        <v>1.87</v>
      </c>
      <c r="CQ433" s="9">
        <v>0.32</v>
      </c>
      <c r="CS433" s="9">
        <v>0.41</v>
      </c>
    </row>
    <row r="434" spans="1:98">
      <c r="A434" s="1" t="s">
        <v>289</v>
      </c>
      <c r="B434" s="4" t="s">
        <v>290</v>
      </c>
      <c r="C434" s="1" t="s">
        <v>620</v>
      </c>
      <c r="D434" s="63">
        <v>67.22</v>
      </c>
      <c r="E434" s="63">
        <v>2.93</v>
      </c>
      <c r="F434" s="1" t="s">
        <v>308</v>
      </c>
      <c r="G434" s="1" t="s">
        <v>219</v>
      </c>
      <c r="H434" s="1" t="s">
        <v>174</v>
      </c>
      <c r="I434" s="9">
        <v>1057.3</v>
      </c>
      <c r="J434" s="38" t="s">
        <v>256</v>
      </c>
      <c r="L434" s="4" t="s">
        <v>426</v>
      </c>
      <c r="M434" s="78" t="s">
        <v>866</v>
      </c>
      <c r="N434" s="78"/>
      <c r="Q434" s="1" t="s">
        <v>312</v>
      </c>
      <c r="R434" s="4">
        <v>47.9</v>
      </c>
      <c r="S434" s="1">
        <v>1.23</v>
      </c>
      <c r="T434" s="1">
        <v>14.78</v>
      </c>
      <c r="U434" s="1">
        <v>6.6</v>
      </c>
      <c r="V434" s="1">
        <v>4.6399999999999997</v>
      </c>
      <c r="W434" s="1">
        <v>0.19</v>
      </c>
      <c r="X434" s="1">
        <v>9.16</v>
      </c>
      <c r="Y434" s="1">
        <v>10.86</v>
      </c>
      <c r="Z434" s="1">
        <v>2.02</v>
      </c>
      <c r="AA434" s="1">
        <v>0.23</v>
      </c>
      <c r="AB434" s="1">
        <v>0.11</v>
      </c>
      <c r="AC434" s="9">
        <v>3.19</v>
      </c>
      <c r="AD434" s="23">
        <f>SUM(R434:AB434)+AC434</f>
        <v>100.90999999999998</v>
      </c>
      <c r="AE434" s="21">
        <f>V434+0.899*U434</f>
        <v>10.573399999999999</v>
      </c>
      <c r="AF434" s="23">
        <f>(X434/40.3)/((X434/40.3)+(AE434/71.844))</f>
        <v>0.60698359210899888</v>
      </c>
      <c r="AH434" s="16">
        <f t="shared" si="339"/>
        <v>49.017601309864929</v>
      </c>
      <c r="AI434" s="16">
        <f t="shared" si="339"/>
        <v>1.2586983217355712</v>
      </c>
      <c r="AJ434" s="16">
        <f t="shared" si="339"/>
        <v>15.124846500204669</v>
      </c>
      <c r="AK434" s="16">
        <f t="shared" si="339"/>
        <v>6.7539909946786745</v>
      </c>
      <c r="AL434" s="16">
        <f t="shared" si="339"/>
        <v>4.7482603356528861</v>
      </c>
      <c r="AM434" s="16">
        <f t="shared" si="339"/>
        <v>0.19443307408923458</v>
      </c>
      <c r="AN434" s="16">
        <f t="shared" si="339"/>
        <v>9.3737208350388883</v>
      </c>
      <c r="AO434" s="16">
        <f t="shared" si="339"/>
        <v>11.113385182153092</v>
      </c>
      <c r="AP434" s="16">
        <f t="shared" si="339"/>
        <v>2.0671305771592308</v>
      </c>
      <c r="AQ434" s="16">
        <f t="shared" si="339"/>
        <v>0.2353663528448629</v>
      </c>
      <c r="AR434" s="16">
        <f t="shared" si="339"/>
        <v>0.11256651657797791</v>
      </c>
      <c r="AS434" s="16">
        <f>SUM(AH434:AR434)</f>
        <v>100.00000000000004</v>
      </c>
      <c r="AT434" s="16">
        <f>AL434+0.899*AK434</f>
        <v>10.820098239869015</v>
      </c>
      <c r="AV434" s="1" t="s">
        <v>428</v>
      </c>
      <c r="AY434" s="41"/>
      <c r="AZ434" s="41"/>
      <c r="BA434" s="41">
        <v>292</v>
      </c>
      <c r="BB434" s="41"/>
      <c r="BC434" s="41">
        <v>281</v>
      </c>
      <c r="BD434" s="41"/>
      <c r="BE434" s="41">
        <v>42</v>
      </c>
      <c r="BF434" s="41"/>
      <c r="BG434" s="41">
        <v>115</v>
      </c>
      <c r="BH434" s="41"/>
      <c r="BI434" s="41">
        <v>119</v>
      </c>
      <c r="BJ434" s="41"/>
      <c r="BK434" s="41">
        <v>88</v>
      </c>
      <c r="BL434" s="41"/>
      <c r="BM434" s="41"/>
      <c r="BN434" s="41">
        <v>12</v>
      </c>
      <c r="BO434" s="41"/>
      <c r="BP434" s="41"/>
      <c r="BQ434" s="41">
        <v>127</v>
      </c>
      <c r="BR434" s="41"/>
      <c r="BS434" s="41">
        <v>24</v>
      </c>
      <c r="BT434" s="41"/>
      <c r="BU434" s="41">
        <v>70</v>
      </c>
      <c r="BV434" s="41"/>
      <c r="BW434" s="41">
        <v>4</v>
      </c>
    </row>
    <row r="435" spans="1:98">
      <c r="A435" s="1" t="s">
        <v>289</v>
      </c>
      <c r="B435" s="4" t="s">
        <v>290</v>
      </c>
      <c r="C435" s="40" t="s">
        <v>703</v>
      </c>
      <c r="D435" s="63">
        <v>67.22</v>
      </c>
      <c r="E435" s="63">
        <v>2.93</v>
      </c>
      <c r="F435" s="1" t="s">
        <v>308</v>
      </c>
      <c r="G435" s="4"/>
      <c r="H435" s="4"/>
      <c r="J435" s="38" t="s">
        <v>256</v>
      </c>
      <c r="K435" s="40"/>
      <c r="L435" s="4" t="s">
        <v>423</v>
      </c>
      <c r="M435" s="78" t="s">
        <v>867</v>
      </c>
      <c r="N435" s="78"/>
      <c r="O435" s="4"/>
      <c r="P435" s="4"/>
      <c r="Q435" s="4"/>
      <c r="AD435" s="23"/>
      <c r="AE435" s="23"/>
      <c r="AF435" s="23"/>
      <c r="AG435" s="45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45"/>
      <c r="AV435" s="4"/>
      <c r="AY435" s="39">
        <v>35.42</v>
      </c>
      <c r="BR435" s="39">
        <v>21.37</v>
      </c>
      <c r="BS435" s="39"/>
      <c r="BT435" s="39">
        <v>66.59</v>
      </c>
      <c r="BV435" s="39">
        <v>3.48</v>
      </c>
      <c r="BW435" s="39"/>
      <c r="CA435" s="39">
        <v>30.54</v>
      </c>
      <c r="CB435" s="39">
        <v>2.7</v>
      </c>
      <c r="CC435" s="39">
        <v>8.6300000000000008</v>
      </c>
      <c r="CD435" s="39">
        <v>1.61</v>
      </c>
      <c r="CE435" s="39">
        <v>7.77</v>
      </c>
      <c r="CF435" s="39">
        <v>2.52</v>
      </c>
      <c r="CG435" s="39">
        <v>0.96</v>
      </c>
      <c r="CH435" s="39">
        <v>3.18</v>
      </c>
      <c r="CI435" s="39">
        <v>0.62</v>
      </c>
      <c r="CJ435" s="39">
        <v>3.61</v>
      </c>
      <c r="CK435" s="39">
        <v>0.79</v>
      </c>
      <c r="CL435" s="39">
        <v>2.19</v>
      </c>
      <c r="CM435" s="39">
        <v>0.35</v>
      </c>
      <c r="CN435" s="39">
        <v>2.15</v>
      </c>
      <c r="CO435" s="39">
        <v>0.33</v>
      </c>
      <c r="CP435" s="39">
        <v>1.76</v>
      </c>
      <c r="CQ435" s="39">
        <v>0.6</v>
      </c>
      <c r="CR435" s="39">
        <v>3.99</v>
      </c>
      <c r="CS435" s="39"/>
      <c r="CT435" s="39">
        <v>0.09</v>
      </c>
    </row>
    <row r="436" spans="1:98">
      <c r="A436" s="1" t="s">
        <v>289</v>
      </c>
      <c r="B436" s="4" t="s">
        <v>290</v>
      </c>
      <c r="C436" s="40" t="s">
        <v>704</v>
      </c>
      <c r="D436" s="63">
        <v>67.22</v>
      </c>
      <c r="E436" s="63">
        <v>2.93</v>
      </c>
      <c r="F436" s="1" t="s">
        <v>308</v>
      </c>
      <c r="G436" s="4"/>
      <c r="H436" s="4"/>
      <c r="J436" s="38" t="s">
        <v>256</v>
      </c>
      <c r="K436" s="40"/>
      <c r="L436" s="4" t="s">
        <v>423</v>
      </c>
      <c r="M436" s="78" t="s">
        <v>867</v>
      </c>
      <c r="N436" s="78"/>
      <c r="O436" s="40"/>
      <c r="P436" s="4"/>
      <c r="Q436" s="4"/>
      <c r="R436" s="4">
        <v>53.43</v>
      </c>
      <c r="S436" s="4">
        <v>1.57</v>
      </c>
      <c r="T436" s="4">
        <v>11.95</v>
      </c>
      <c r="U436" s="4">
        <v>8.48</v>
      </c>
      <c r="W436" s="4">
        <v>0.22</v>
      </c>
      <c r="X436" s="4">
        <v>9.08</v>
      </c>
      <c r="Y436" s="4">
        <v>12.84</v>
      </c>
      <c r="Z436" s="4">
        <v>2.2000000000000002</v>
      </c>
      <c r="AA436" s="4">
        <v>0.1</v>
      </c>
      <c r="AB436" s="4">
        <v>0.13</v>
      </c>
      <c r="AD436" s="23">
        <f>SUM(R436:AB436)+AC436</f>
        <v>100</v>
      </c>
      <c r="AE436" s="21">
        <f>V436+0.899*U436</f>
        <v>7.623520000000001</v>
      </c>
      <c r="AF436" s="23">
        <f>(X436/40.3)/((X436/40.3)+(AE436/71.844))</f>
        <v>0.67982803188576979</v>
      </c>
      <c r="AG436" s="45"/>
      <c r="AH436" s="16">
        <f t="shared" ref="AH436:AR436" si="340">100*R436/SUM($R436:$AB436)</f>
        <v>53.43</v>
      </c>
      <c r="AI436" s="16">
        <f t="shared" si="340"/>
        <v>1.57</v>
      </c>
      <c r="AJ436" s="16">
        <f t="shared" si="340"/>
        <v>11.95</v>
      </c>
      <c r="AK436" s="16">
        <f t="shared" si="340"/>
        <v>8.48</v>
      </c>
      <c r="AL436" s="16">
        <f t="shared" si="340"/>
        <v>0</v>
      </c>
      <c r="AM436" s="16">
        <f t="shared" si="340"/>
        <v>0.22</v>
      </c>
      <c r="AN436" s="16">
        <f t="shared" si="340"/>
        <v>9.08</v>
      </c>
      <c r="AO436" s="16">
        <f t="shared" si="340"/>
        <v>12.84</v>
      </c>
      <c r="AP436" s="16">
        <f t="shared" si="340"/>
        <v>2.2000000000000002</v>
      </c>
      <c r="AQ436" s="16">
        <f t="shared" si="340"/>
        <v>0.1</v>
      </c>
      <c r="AR436" s="16">
        <f t="shared" si="340"/>
        <v>0.13</v>
      </c>
      <c r="AS436" s="16">
        <f>SUM(AH436:AR436)</f>
        <v>100</v>
      </c>
      <c r="AT436" s="16">
        <f>AL436+0.899*AK436</f>
        <v>7.623520000000001</v>
      </c>
      <c r="AU436" s="45"/>
      <c r="AV436" s="4"/>
      <c r="AY436" s="39">
        <v>28.57</v>
      </c>
      <c r="BR436" s="39">
        <v>23.96</v>
      </c>
      <c r="BS436" s="39"/>
      <c r="BT436" s="39">
        <v>72.87</v>
      </c>
      <c r="BV436" s="39">
        <v>3.43</v>
      </c>
      <c r="BW436" s="39"/>
      <c r="CA436" s="39">
        <v>3.53</v>
      </c>
      <c r="CB436" s="39">
        <v>4.59</v>
      </c>
      <c r="CC436" s="39">
        <v>9.76</v>
      </c>
      <c r="CD436" s="39">
        <v>1.48</v>
      </c>
      <c r="CE436" s="39">
        <v>8.36</v>
      </c>
      <c r="CF436" s="39">
        <v>2.73</v>
      </c>
      <c r="CG436" s="39">
        <v>1.03</v>
      </c>
      <c r="CH436" s="39">
        <v>3.5</v>
      </c>
      <c r="CI436" s="39">
        <v>0.68</v>
      </c>
      <c r="CJ436" s="39">
        <v>4.09</v>
      </c>
      <c r="CK436" s="39">
        <v>0.88</v>
      </c>
      <c r="CL436" s="39">
        <v>2.5</v>
      </c>
      <c r="CM436" s="39">
        <v>0.4</v>
      </c>
      <c r="CN436" s="39">
        <v>2.3199999999999998</v>
      </c>
      <c r="CO436" s="39">
        <v>0.34</v>
      </c>
      <c r="CP436" s="39">
        <v>2.06</v>
      </c>
      <c r="CQ436" s="39">
        <v>0.2</v>
      </c>
      <c r="CR436" s="39">
        <v>0.89</v>
      </c>
      <c r="CS436" s="39">
        <v>0.2</v>
      </c>
      <c r="CT436" s="39">
        <v>7.0000000000000007E-2</v>
      </c>
    </row>
    <row r="437" spans="1:98">
      <c r="A437" s="1" t="s">
        <v>289</v>
      </c>
      <c r="B437" s="4" t="s">
        <v>290</v>
      </c>
      <c r="C437" s="40" t="s">
        <v>705</v>
      </c>
      <c r="D437" s="63">
        <v>67.22</v>
      </c>
      <c r="E437" s="63">
        <v>2.93</v>
      </c>
      <c r="F437" s="1" t="s">
        <v>308</v>
      </c>
      <c r="G437" s="4"/>
      <c r="H437" s="4"/>
      <c r="J437" s="40" t="s">
        <v>256</v>
      </c>
      <c r="K437" s="40"/>
      <c r="L437" s="4" t="s">
        <v>423</v>
      </c>
      <c r="M437" s="78" t="s">
        <v>867</v>
      </c>
      <c r="N437" s="78"/>
      <c r="O437" s="4"/>
      <c r="P437" s="4"/>
      <c r="Q437" s="4"/>
      <c r="AD437" s="23"/>
      <c r="AE437" s="23"/>
      <c r="AF437" s="23"/>
      <c r="AG437" s="45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45"/>
      <c r="AV437" s="4"/>
      <c r="AY437" s="39">
        <v>40.549999999999997</v>
      </c>
      <c r="BR437" s="39">
        <v>22.42</v>
      </c>
      <c r="BS437" s="39"/>
      <c r="BT437" s="39">
        <v>88.21</v>
      </c>
      <c r="BV437" s="39">
        <v>4.0999999999999996</v>
      </c>
      <c r="BW437" s="39"/>
      <c r="CA437" s="39">
        <v>35.85</v>
      </c>
      <c r="CB437" s="39">
        <v>3.16</v>
      </c>
      <c r="CC437" s="39">
        <v>8.27</v>
      </c>
      <c r="CD437" s="39">
        <v>1.48</v>
      </c>
      <c r="CE437" s="39">
        <v>7.34</v>
      </c>
      <c r="CF437" s="39">
        <v>2.39</v>
      </c>
      <c r="CG437" s="39">
        <v>0.92</v>
      </c>
      <c r="CH437" s="39">
        <v>3.12</v>
      </c>
      <c r="CI437" s="39">
        <v>0.61</v>
      </c>
      <c r="CJ437" s="39">
        <v>3.68</v>
      </c>
      <c r="CK437" s="39">
        <v>0.82</v>
      </c>
      <c r="CL437" s="39">
        <v>2.31</v>
      </c>
      <c r="CM437" s="39">
        <v>0.38</v>
      </c>
      <c r="CN437" s="39">
        <v>2.31</v>
      </c>
      <c r="CO437" s="39">
        <v>0.35</v>
      </c>
      <c r="CP437" s="39">
        <v>2.12</v>
      </c>
      <c r="CQ437" s="39">
        <v>0.24</v>
      </c>
      <c r="CR437" s="39">
        <v>1.24</v>
      </c>
      <c r="CS437" s="39"/>
      <c r="CT437" s="39">
        <v>0.15</v>
      </c>
    </row>
    <row r="438" spans="1:98">
      <c r="A438" s="1" t="s">
        <v>289</v>
      </c>
      <c r="B438" s="4" t="s">
        <v>290</v>
      </c>
      <c r="C438" s="1" t="s">
        <v>621</v>
      </c>
      <c r="D438" s="63">
        <v>67.22</v>
      </c>
      <c r="E438" s="63">
        <v>2.93</v>
      </c>
      <c r="F438" s="1" t="s">
        <v>308</v>
      </c>
      <c r="G438" s="1" t="s">
        <v>211</v>
      </c>
      <c r="H438" s="1" t="s">
        <v>174</v>
      </c>
      <c r="I438" s="9">
        <v>1064.3</v>
      </c>
      <c r="J438" s="38" t="s">
        <v>256</v>
      </c>
      <c r="L438" s="4" t="s">
        <v>426</v>
      </c>
      <c r="M438" s="78" t="s">
        <v>866</v>
      </c>
      <c r="N438" s="78"/>
      <c r="Q438" s="1" t="s">
        <v>312</v>
      </c>
      <c r="R438" s="4">
        <v>48</v>
      </c>
      <c r="S438" s="1">
        <v>1.25</v>
      </c>
      <c r="T438" s="1">
        <v>14.74</v>
      </c>
      <c r="U438" s="1">
        <v>6.38</v>
      </c>
      <c r="V438" s="1">
        <v>5.26</v>
      </c>
      <c r="W438" s="1">
        <v>0.22</v>
      </c>
      <c r="X438" s="1">
        <v>9.06</v>
      </c>
      <c r="Y438" s="1">
        <v>10.86</v>
      </c>
      <c r="Z438" s="1">
        <v>2.12</v>
      </c>
      <c r="AA438" s="1">
        <v>0.13</v>
      </c>
      <c r="AB438" s="1">
        <v>0.09</v>
      </c>
      <c r="AC438" s="9">
        <v>1.81</v>
      </c>
      <c r="AD438" s="23">
        <f>SUM(R438:AB438)+AC438</f>
        <v>99.920000000000016</v>
      </c>
      <c r="AE438" s="21">
        <f>V438+0.899*U438</f>
        <v>10.995619999999999</v>
      </c>
      <c r="AF438" s="23">
        <f>(X438/40.3)/((X438/40.3)+(AE438/71.844))</f>
        <v>0.5949622634066295</v>
      </c>
      <c r="AH438" s="16">
        <f t="shared" ref="AH438:AR438" si="341">100*R438/SUM($R438:$AB438)</f>
        <v>48.924676383650997</v>
      </c>
      <c r="AI438" s="16">
        <f t="shared" si="341"/>
        <v>1.2740801141575782</v>
      </c>
      <c r="AJ438" s="16">
        <f t="shared" si="341"/>
        <v>15.02395270614616</v>
      </c>
      <c r="AK438" s="16">
        <f t="shared" si="341"/>
        <v>6.5029049026602781</v>
      </c>
      <c r="AL438" s="16">
        <f t="shared" si="341"/>
        <v>5.3613291203750881</v>
      </c>
      <c r="AM438" s="16">
        <f t="shared" si="341"/>
        <v>0.22423810009173373</v>
      </c>
      <c r="AN438" s="16">
        <f t="shared" si="341"/>
        <v>9.2345326674141255</v>
      </c>
      <c r="AO438" s="16">
        <f t="shared" si="341"/>
        <v>11.069208031801038</v>
      </c>
      <c r="AP438" s="16">
        <f t="shared" si="341"/>
        <v>2.1608398736112524</v>
      </c>
      <c r="AQ438" s="16">
        <f t="shared" si="341"/>
        <v>0.13250433187238811</v>
      </c>
      <c r="AR438" s="16">
        <f t="shared" si="341"/>
        <v>9.1733768219345618E-2</v>
      </c>
      <c r="AS438" s="16">
        <f>SUM(AH438:AR438)</f>
        <v>99.999999999999986</v>
      </c>
      <c r="AT438" s="16">
        <f>AL438+0.899*AK438</f>
        <v>11.207440627866678</v>
      </c>
      <c r="AV438" s="1" t="s">
        <v>428</v>
      </c>
      <c r="AY438" s="41">
        <v>45.1</v>
      </c>
      <c r="AZ438" s="41"/>
      <c r="BA438" s="41">
        <v>304</v>
      </c>
      <c r="BB438" s="41"/>
      <c r="BC438" s="41">
        <v>215</v>
      </c>
      <c r="BD438" s="41"/>
      <c r="BE438" s="41">
        <v>53.4</v>
      </c>
      <c r="BF438" s="41"/>
      <c r="BG438" s="41">
        <v>98</v>
      </c>
      <c r="BH438" s="41"/>
      <c r="BI438" s="41">
        <v>99</v>
      </c>
      <c r="BJ438" s="41"/>
      <c r="BK438" s="41">
        <v>84</v>
      </c>
      <c r="BL438" s="41"/>
      <c r="BM438" s="41"/>
      <c r="BN438" s="41">
        <v>5</v>
      </c>
      <c r="BO438" s="41"/>
      <c r="BP438" s="41"/>
      <c r="BQ438" s="41">
        <v>219</v>
      </c>
      <c r="BR438" s="41"/>
      <c r="BS438" s="41">
        <v>22</v>
      </c>
      <c r="BT438" s="41"/>
      <c r="BU438" s="41">
        <v>75</v>
      </c>
      <c r="BV438" s="41"/>
      <c r="BW438" s="41">
        <v>5</v>
      </c>
    </row>
    <row r="439" spans="1:98">
      <c r="A439" s="1" t="s">
        <v>289</v>
      </c>
      <c r="B439" s="4" t="s">
        <v>290</v>
      </c>
      <c r="C439" s="40" t="s">
        <v>706</v>
      </c>
      <c r="D439" s="63">
        <v>67.22</v>
      </c>
      <c r="E439" s="63">
        <v>2.93</v>
      </c>
      <c r="F439" s="1" t="s">
        <v>308</v>
      </c>
      <c r="G439" s="4"/>
      <c r="H439" s="4"/>
      <c r="J439" s="38" t="s">
        <v>256</v>
      </c>
      <c r="K439" s="40"/>
      <c r="L439" s="4" t="s">
        <v>423</v>
      </c>
      <c r="M439" s="78" t="s">
        <v>867</v>
      </c>
      <c r="N439" s="78"/>
      <c r="O439" s="4"/>
      <c r="P439" s="4"/>
      <c r="Q439" s="4"/>
      <c r="AD439" s="23"/>
      <c r="AE439" s="23"/>
      <c r="AF439" s="23"/>
      <c r="AG439" s="45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45"/>
      <c r="AV439" s="4"/>
      <c r="AY439" s="39"/>
      <c r="BR439" s="39">
        <v>30.4</v>
      </c>
      <c r="BS439" s="39"/>
      <c r="BT439" s="39">
        <v>73.989999999999995</v>
      </c>
      <c r="BV439" s="39">
        <v>4</v>
      </c>
      <c r="BW439" s="39"/>
      <c r="CA439" s="39">
        <v>18.940000000000001</v>
      </c>
      <c r="CB439" s="39">
        <v>4.58</v>
      </c>
      <c r="CC439" s="39">
        <v>12.19</v>
      </c>
      <c r="CD439" s="39">
        <v>1.77</v>
      </c>
      <c r="CE439" s="39">
        <v>9.36</v>
      </c>
      <c r="CF439" s="39">
        <v>3.01</v>
      </c>
      <c r="CG439" s="39">
        <v>1.03</v>
      </c>
      <c r="CH439" s="39">
        <v>3.85</v>
      </c>
      <c r="CI439" s="39">
        <v>0.73</v>
      </c>
      <c r="CJ439" s="39">
        <v>4.8099999999999996</v>
      </c>
      <c r="CK439" s="39">
        <v>1.06</v>
      </c>
      <c r="CL439" s="39">
        <v>3.09</v>
      </c>
      <c r="CM439" s="39">
        <v>0.48</v>
      </c>
      <c r="CN439" s="39">
        <v>2.69</v>
      </c>
      <c r="CO439" s="39">
        <v>0.41</v>
      </c>
      <c r="CP439" s="39">
        <v>2.0499999999999998</v>
      </c>
      <c r="CQ439" s="39">
        <v>0.23</v>
      </c>
      <c r="CR439" s="39">
        <v>0.31</v>
      </c>
      <c r="CS439" s="39"/>
      <c r="CT439" s="39">
        <v>0.13</v>
      </c>
    </row>
    <row r="440" spans="1:98">
      <c r="A440" s="1" t="s">
        <v>289</v>
      </c>
      <c r="B440" s="4" t="s">
        <v>290</v>
      </c>
      <c r="C440" s="40" t="s">
        <v>707</v>
      </c>
      <c r="D440" s="63">
        <v>67.22</v>
      </c>
      <c r="E440" s="63">
        <v>2.93</v>
      </c>
      <c r="F440" s="1" t="s">
        <v>308</v>
      </c>
      <c r="G440" s="4"/>
      <c r="H440" s="4"/>
      <c r="J440" s="40" t="s">
        <v>256</v>
      </c>
      <c r="K440" s="40"/>
      <c r="L440" s="4" t="s">
        <v>423</v>
      </c>
      <c r="M440" s="78" t="s">
        <v>867</v>
      </c>
      <c r="N440" s="78"/>
      <c r="O440" s="4"/>
      <c r="P440" s="4"/>
      <c r="Q440" s="4"/>
      <c r="AD440" s="23"/>
      <c r="AE440" s="23"/>
      <c r="AF440" s="23"/>
      <c r="AG440" s="45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45"/>
      <c r="AV440" s="4"/>
      <c r="AY440" s="39" t="s">
        <v>89</v>
      </c>
      <c r="BR440" s="39">
        <v>25.75</v>
      </c>
      <c r="BS440" s="39"/>
      <c r="BT440" s="39">
        <v>81.88</v>
      </c>
      <c r="BV440" s="39">
        <v>4.3499999999999996</v>
      </c>
      <c r="BW440" s="39"/>
      <c r="CA440" s="39">
        <v>21.45</v>
      </c>
      <c r="CB440" s="39">
        <v>5.72</v>
      </c>
      <c r="CC440" s="39">
        <v>10.51</v>
      </c>
      <c r="CD440" s="39">
        <v>1.58</v>
      </c>
      <c r="CE440" s="39">
        <v>8.5500000000000007</v>
      </c>
      <c r="CF440" s="39">
        <v>2.81</v>
      </c>
      <c r="CG440" s="39">
        <v>1.02</v>
      </c>
      <c r="CH440" s="39">
        <v>3.46</v>
      </c>
      <c r="CI440" s="39">
        <v>0.67</v>
      </c>
      <c r="CJ440" s="39">
        <v>4.4000000000000004</v>
      </c>
      <c r="CK440" s="39">
        <v>0.98</v>
      </c>
      <c r="CL440" s="39">
        <v>2.72</v>
      </c>
      <c r="CM440" s="39">
        <v>0.45</v>
      </c>
      <c r="CN440" s="39">
        <v>2.6</v>
      </c>
      <c r="CO440" s="39">
        <v>0.4</v>
      </c>
      <c r="CP440" s="39">
        <v>2.2200000000000002</v>
      </c>
      <c r="CQ440" s="39">
        <v>0.25</v>
      </c>
      <c r="CR440" s="39">
        <v>0.26</v>
      </c>
      <c r="CS440" s="39"/>
      <c r="CT440" s="39">
        <v>0.11</v>
      </c>
    </row>
    <row r="441" spans="1:98">
      <c r="A441" s="1" t="s">
        <v>289</v>
      </c>
      <c r="B441" s="4" t="s">
        <v>290</v>
      </c>
      <c r="C441" s="40" t="s">
        <v>708</v>
      </c>
      <c r="D441" s="63">
        <v>67.22</v>
      </c>
      <c r="E441" s="63">
        <v>2.93</v>
      </c>
      <c r="F441" s="1" t="s">
        <v>308</v>
      </c>
      <c r="G441" s="4"/>
      <c r="H441" s="4"/>
      <c r="J441" s="40" t="s">
        <v>256</v>
      </c>
      <c r="K441" s="40"/>
      <c r="L441" s="4" t="s">
        <v>423</v>
      </c>
      <c r="M441" s="78" t="s">
        <v>867</v>
      </c>
      <c r="N441" s="78"/>
      <c r="O441" s="40"/>
      <c r="P441" s="4"/>
      <c r="Q441" s="4"/>
      <c r="R441" s="4">
        <v>52.68</v>
      </c>
      <c r="S441" s="4">
        <v>1.61</v>
      </c>
      <c r="T441" s="4">
        <v>11.15</v>
      </c>
      <c r="U441" s="4">
        <v>10.73</v>
      </c>
      <c r="W441" s="4">
        <v>0.22</v>
      </c>
      <c r="X441" s="4">
        <v>9.89</v>
      </c>
      <c r="Y441" s="4">
        <v>10.95</v>
      </c>
      <c r="Z441" s="4">
        <v>2.52</v>
      </c>
      <c r="AA441" s="4">
        <v>0.13</v>
      </c>
      <c r="AB441" s="4">
        <v>0.11</v>
      </c>
      <c r="AD441" s="23">
        <f>SUM(R441:AB441)+AC441</f>
        <v>99.99</v>
      </c>
      <c r="AE441" s="21">
        <f>V441+0.899*U441</f>
        <v>9.6462700000000012</v>
      </c>
      <c r="AF441" s="23">
        <f>(X441/40.3)/((X441/40.3)+(AE441/71.844))</f>
        <v>0.64636486613263355</v>
      </c>
      <c r="AG441" s="45"/>
      <c r="AH441" s="16">
        <f t="shared" ref="AH441:AR445" si="342">100*R441/SUM($R441:$AB441)</f>
        <v>52.685268526852688</v>
      </c>
      <c r="AI441" s="16">
        <f t="shared" si="342"/>
        <v>1.6101610161016102</v>
      </c>
      <c r="AJ441" s="16">
        <f t="shared" si="342"/>
        <v>11.151115111511151</v>
      </c>
      <c r="AK441" s="16">
        <f t="shared" si="342"/>
        <v>10.731073107310731</v>
      </c>
      <c r="AL441" s="16">
        <f t="shared" si="342"/>
        <v>0</v>
      </c>
      <c r="AM441" s="16">
        <f t="shared" si="342"/>
        <v>0.22002200220022003</v>
      </c>
      <c r="AN441" s="16">
        <f t="shared" si="342"/>
        <v>9.8909890989098912</v>
      </c>
      <c r="AO441" s="16">
        <f t="shared" si="342"/>
        <v>10.951095109510952</v>
      </c>
      <c r="AP441" s="16">
        <f t="shared" si="342"/>
        <v>2.5202520252025202</v>
      </c>
      <c r="AQ441" s="16">
        <f t="shared" si="342"/>
        <v>0.13001300130013002</v>
      </c>
      <c r="AR441" s="16">
        <f t="shared" si="342"/>
        <v>0.11001100110011001</v>
      </c>
      <c r="AS441" s="16">
        <f>SUM(AH441:AR441)</f>
        <v>100.00000000000001</v>
      </c>
      <c r="AT441" s="16">
        <f>AL441+0.899*AK441</f>
        <v>9.6472347234723479</v>
      </c>
      <c r="AU441" s="45"/>
      <c r="AV441" s="4"/>
      <c r="AY441" s="39">
        <v>30.43</v>
      </c>
      <c r="BR441" s="39">
        <v>24.69</v>
      </c>
      <c r="BS441" s="39"/>
      <c r="BT441" s="39">
        <v>83.07</v>
      </c>
      <c r="BV441" s="39">
        <v>4.21</v>
      </c>
      <c r="BW441" s="39"/>
      <c r="CA441" s="39">
        <v>4.46</v>
      </c>
      <c r="CB441" s="39">
        <v>15.29</v>
      </c>
      <c r="CC441" s="39">
        <v>9.86</v>
      </c>
      <c r="CD441" s="39">
        <v>1.46</v>
      </c>
      <c r="CE441" s="39">
        <v>8.2200000000000006</v>
      </c>
      <c r="CF441" s="39">
        <v>2.69</v>
      </c>
      <c r="CG441" s="39">
        <v>1.01</v>
      </c>
      <c r="CH441" s="39">
        <v>3.6</v>
      </c>
      <c r="CI441" s="39">
        <v>0.73</v>
      </c>
      <c r="CJ441" s="39">
        <v>4.5199999999999996</v>
      </c>
      <c r="CK441" s="39">
        <v>1</v>
      </c>
      <c r="CL441" s="39">
        <v>2.9</v>
      </c>
      <c r="CM441" s="39">
        <v>0.47</v>
      </c>
      <c r="CN441" s="39">
        <v>2.81</v>
      </c>
      <c r="CO441" s="39">
        <v>0.43</v>
      </c>
      <c r="CP441" s="39">
        <v>2.81</v>
      </c>
      <c r="CQ441" s="39">
        <v>0.31</v>
      </c>
      <c r="CR441" s="39">
        <v>1.04</v>
      </c>
      <c r="CS441" s="39">
        <v>0.76</v>
      </c>
      <c r="CT441" s="39">
        <v>0.19</v>
      </c>
    </row>
    <row r="442" spans="1:98">
      <c r="A442" s="1" t="s">
        <v>289</v>
      </c>
      <c r="B442" s="4" t="s">
        <v>290</v>
      </c>
      <c r="C442" s="1" t="s">
        <v>622</v>
      </c>
      <c r="D442" s="63">
        <v>67.22</v>
      </c>
      <c r="E442" s="63">
        <v>2.93</v>
      </c>
      <c r="F442" s="1" t="s">
        <v>308</v>
      </c>
      <c r="G442" s="1" t="s">
        <v>201</v>
      </c>
      <c r="H442" s="1" t="s">
        <v>174</v>
      </c>
      <c r="I442" s="9">
        <v>1073</v>
      </c>
      <c r="J442" s="38" t="s">
        <v>256</v>
      </c>
      <c r="L442" s="4" t="s">
        <v>426</v>
      </c>
      <c r="M442" s="78" t="s">
        <v>866</v>
      </c>
      <c r="N442" s="78"/>
      <c r="Q442" s="1" t="s">
        <v>312</v>
      </c>
      <c r="R442" s="4">
        <v>46.8</v>
      </c>
      <c r="S442" s="1">
        <v>0.99</v>
      </c>
      <c r="T442" s="1">
        <v>14.39</v>
      </c>
      <c r="U442" s="1">
        <v>3.49</v>
      </c>
      <c r="V442" s="1">
        <v>7.04</v>
      </c>
      <c r="W442" s="1">
        <v>0.19</v>
      </c>
      <c r="X442" s="1">
        <v>10.210000000000001</v>
      </c>
      <c r="Y442" s="1">
        <v>10.69</v>
      </c>
      <c r="Z442" s="1">
        <v>1.8</v>
      </c>
      <c r="AA442" s="1">
        <v>0.23</v>
      </c>
      <c r="AB442" s="1">
        <v>0.09</v>
      </c>
      <c r="AC442" s="9">
        <v>3.72</v>
      </c>
      <c r="AD442" s="23">
        <f>SUM(R442:AB442)+AC442</f>
        <v>99.640000000000015</v>
      </c>
      <c r="AE442" s="21">
        <f>V442+0.899*U442</f>
        <v>10.17751</v>
      </c>
      <c r="AF442" s="23">
        <f>(X442/40.3)/((X442/40.3)+(AE442/71.844))</f>
        <v>0.64137404453429125</v>
      </c>
      <c r="AH442" s="16">
        <f t="shared" si="342"/>
        <v>48.790658882401992</v>
      </c>
      <c r="AI442" s="16">
        <f t="shared" si="342"/>
        <v>1.0321100917431192</v>
      </c>
      <c r="AJ442" s="16">
        <f t="shared" si="342"/>
        <v>15.002085070892408</v>
      </c>
      <c r="AK442" s="16">
        <f t="shared" si="342"/>
        <v>3.6384487072560461</v>
      </c>
      <c r="AL442" s="16">
        <f t="shared" si="342"/>
        <v>7.3394495412844023</v>
      </c>
      <c r="AM442" s="16">
        <f t="shared" si="342"/>
        <v>0.19808173477898244</v>
      </c>
      <c r="AN442" s="16">
        <f t="shared" si="342"/>
        <v>10.644286905754795</v>
      </c>
      <c r="AO442" s="16">
        <f t="shared" si="342"/>
        <v>11.144703919933276</v>
      </c>
      <c r="AP442" s="16">
        <f t="shared" si="342"/>
        <v>1.8765638031693075</v>
      </c>
      <c r="AQ442" s="16">
        <f t="shared" si="342"/>
        <v>0.23978315262718927</v>
      </c>
      <c r="AR442" s="16">
        <f t="shared" si="342"/>
        <v>9.3828190158465372E-2</v>
      </c>
      <c r="AS442" s="16">
        <f>SUM(AH442:AR442)</f>
        <v>99.999999999999986</v>
      </c>
      <c r="AT442" s="16">
        <f>AL442+0.899*AK442</f>
        <v>10.610414929107588</v>
      </c>
      <c r="AV442" s="1" t="s">
        <v>428</v>
      </c>
      <c r="AY442" s="41">
        <v>41.9</v>
      </c>
      <c r="AZ442" s="41"/>
      <c r="BA442" s="41">
        <v>260</v>
      </c>
      <c r="BB442" s="41"/>
      <c r="BC442" s="41">
        <v>339</v>
      </c>
      <c r="BD442" s="41"/>
      <c r="BE442" s="41">
        <v>53.5</v>
      </c>
      <c r="BF442" s="41"/>
      <c r="BG442" s="41">
        <v>151</v>
      </c>
      <c r="BH442" s="41"/>
      <c r="BI442" s="41">
        <v>135</v>
      </c>
      <c r="BJ442" s="41"/>
      <c r="BK442" s="41">
        <v>70</v>
      </c>
      <c r="BL442" s="41"/>
      <c r="BM442" s="41"/>
      <c r="BN442" s="41">
        <v>14</v>
      </c>
      <c r="BO442" s="41"/>
      <c r="BP442" s="41"/>
      <c r="BQ442" s="41">
        <v>178</v>
      </c>
      <c r="BR442" s="41"/>
      <c r="BS442" s="41">
        <v>19</v>
      </c>
      <c r="BT442" s="41"/>
      <c r="BU442" s="41">
        <v>59</v>
      </c>
      <c r="BV442" s="41"/>
      <c r="BW442" s="41">
        <v>2</v>
      </c>
    </row>
    <row r="443" spans="1:98">
      <c r="A443" s="1" t="s">
        <v>289</v>
      </c>
      <c r="B443" s="4" t="s">
        <v>290</v>
      </c>
      <c r="C443" s="1" t="s">
        <v>623</v>
      </c>
      <c r="D443" s="63">
        <v>67.22</v>
      </c>
      <c r="E443" s="63">
        <v>2.93</v>
      </c>
      <c r="F443" s="1" t="s">
        <v>308</v>
      </c>
      <c r="G443" s="1" t="s">
        <v>201</v>
      </c>
      <c r="H443" s="1" t="s">
        <v>174</v>
      </c>
      <c r="I443" s="9">
        <v>1073.9000000000001</v>
      </c>
      <c r="J443" s="38" t="s">
        <v>256</v>
      </c>
      <c r="L443" s="4" t="s">
        <v>426</v>
      </c>
      <c r="M443" s="78" t="s">
        <v>866</v>
      </c>
      <c r="N443" s="78"/>
      <c r="Q443" s="1" t="s">
        <v>312</v>
      </c>
      <c r="R443" s="4">
        <v>48.3</v>
      </c>
      <c r="S443" s="1">
        <v>1.1599999999999999</v>
      </c>
      <c r="T443" s="1">
        <v>15.14</v>
      </c>
      <c r="U443" s="1">
        <v>3.59</v>
      </c>
      <c r="V443" s="1">
        <v>6.81</v>
      </c>
      <c r="W443" s="1">
        <v>0.21</v>
      </c>
      <c r="X443" s="1">
        <v>9.23</v>
      </c>
      <c r="Y443" s="1">
        <v>12.13</v>
      </c>
      <c r="Z443" s="1">
        <v>1.87</v>
      </c>
      <c r="AA443" s="1">
        <v>0.13</v>
      </c>
      <c r="AB443" s="1">
        <v>0.11</v>
      </c>
      <c r="AC443" s="9">
        <v>1.97</v>
      </c>
      <c r="AD443" s="23">
        <f>SUM(R443:AB443)+AC443</f>
        <v>100.64999999999999</v>
      </c>
      <c r="AE443" s="21">
        <f>V443+0.899*U443</f>
        <v>10.037409999999999</v>
      </c>
      <c r="AF443" s="23">
        <f>(X443/40.3)/((X443/40.3)+(AE443/71.844))</f>
        <v>0.62111548182201926</v>
      </c>
      <c r="AH443" s="16">
        <f t="shared" si="342"/>
        <v>48.946088366436975</v>
      </c>
      <c r="AI443" s="16">
        <f t="shared" si="342"/>
        <v>1.1755168220510741</v>
      </c>
      <c r="AJ443" s="16">
        <f t="shared" si="342"/>
        <v>15.342521280907986</v>
      </c>
      <c r="AK443" s="16">
        <f t="shared" si="342"/>
        <v>3.638021888933928</v>
      </c>
      <c r="AL443" s="16">
        <f t="shared" si="342"/>
        <v>6.9010944466963933</v>
      </c>
      <c r="AM443" s="16">
        <f t="shared" si="342"/>
        <v>0.2128090798540738</v>
      </c>
      <c r="AN443" s="16">
        <f t="shared" si="342"/>
        <v>9.3534657478719101</v>
      </c>
      <c r="AO443" s="16">
        <f t="shared" si="342"/>
        <v>12.292257802999595</v>
      </c>
      <c r="AP443" s="16">
        <f t="shared" si="342"/>
        <v>1.8950141872719903</v>
      </c>
      <c r="AQ443" s="16">
        <f t="shared" si="342"/>
        <v>0.13173895419537901</v>
      </c>
      <c r="AR443" s="16">
        <f t="shared" si="342"/>
        <v>0.11147142278070532</v>
      </c>
      <c r="AS443" s="16">
        <f>SUM(AH443:AR443)</f>
        <v>100.00000000000003</v>
      </c>
      <c r="AT443" s="16">
        <f>AL443+0.899*AK443</f>
        <v>10.171676124847995</v>
      </c>
      <c r="AV443" s="1" t="s">
        <v>428</v>
      </c>
      <c r="AY443" s="41"/>
      <c r="AZ443" s="41"/>
      <c r="BA443" s="41">
        <v>287</v>
      </c>
      <c r="BB443" s="41"/>
      <c r="BC443" s="41">
        <v>344</v>
      </c>
      <c r="BD443" s="41"/>
      <c r="BE443" s="41">
        <v>43</v>
      </c>
      <c r="BF443" s="41"/>
      <c r="BG443" s="41">
        <v>164</v>
      </c>
      <c r="BH443" s="41"/>
      <c r="BI443" s="41">
        <v>128</v>
      </c>
      <c r="BJ443" s="41"/>
      <c r="BK443" s="41">
        <v>91</v>
      </c>
      <c r="BL443" s="41"/>
      <c r="BM443" s="41"/>
      <c r="BN443" s="41">
        <v>4</v>
      </c>
      <c r="BO443" s="41"/>
      <c r="BP443" s="41"/>
      <c r="BQ443" s="41">
        <v>116</v>
      </c>
      <c r="BR443" s="41"/>
      <c r="BS443" s="41">
        <v>23</v>
      </c>
      <c r="BT443" s="41"/>
      <c r="BU443" s="41">
        <v>71</v>
      </c>
      <c r="BV443" s="41"/>
      <c r="BW443" s="41">
        <v>4</v>
      </c>
    </row>
    <row r="444" spans="1:98">
      <c r="A444" s="1" t="s">
        <v>289</v>
      </c>
      <c r="B444" s="4" t="s">
        <v>290</v>
      </c>
      <c r="C444" s="1" t="s">
        <v>624</v>
      </c>
      <c r="D444" s="63">
        <v>67.22</v>
      </c>
      <c r="E444" s="63">
        <v>2.93</v>
      </c>
      <c r="F444" s="1" t="s">
        <v>308</v>
      </c>
      <c r="G444" s="1" t="s">
        <v>201</v>
      </c>
      <c r="H444" s="1" t="s">
        <v>174</v>
      </c>
      <c r="I444" s="9">
        <v>1074</v>
      </c>
      <c r="J444" s="38" t="s">
        <v>256</v>
      </c>
      <c r="L444" s="4" t="s">
        <v>426</v>
      </c>
      <c r="M444" s="78" t="s">
        <v>866</v>
      </c>
      <c r="N444" s="78"/>
      <c r="Q444" s="1" t="s">
        <v>312</v>
      </c>
      <c r="R444" s="4">
        <v>48</v>
      </c>
      <c r="S444" s="1">
        <v>0.8</v>
      </c>
      <c r="T444" s="1">
        <v>13.18</v>
      </c>
      <c r="U444" s="1">
        <v>5.16</v>
      </c>
      <c r="V444" s="1">
        <v>5.75</v>
      </c>
      <c r="W444" s="1">
        <v>0.13</v>
      </c>
      <c r="X444" s="1">
        <v>11.93</v>
      </c>
      <c r="Y444" s="1">
        <v>9.9600000000000009</v>
      </c>
      <c r="Z444" s="1">
        <v>1.74</v>
      </c>
      <c r="AA444" s="1">
        <v>0.08</v>
      </c>
      <c r="AB444" s="1">
        <v>0.06</v>
      </c>
      <c r="AC444" s="9">
        <v>3.37</v>
      </c>
      <c r="AD444" s="23">
        <f>SUM(R444:AB444)+AC444</f>
        <v>100.16</v>
      </c>
      <c r="AE444" s="21">
        <f>V444+0.899*U444</f>
        <v>10.38884</v>
      </c>
      <c r="AF444" s="23">
        <f>(X444/40.3)/((X444/40.3)+(AE444/71.844))</f>
        <v>0.67182915123771303</v>
      </c>
      <c r="AH444" s="16">
        <f t="shared" si="342"/>
        <v>49.591899989668356</v>
      </c>
      <c r="AI444" s="16">
        <f t="shared" si="342"/>
        <v>0.82653166649447263</v>
      </c>
      <c r="AJ444" s="16">
        <f t="shared" si="342"/>
        <v>13.617109205496437</v>
      </c>
      <c r="AK444" s="16">
        <f t="shared" si="342"/>
        <v>5.3311292488893489</v>
      </c>
      <c r="AL444" s="16">
        <f t="shared" si="342"/>
        <v>5.940696352929022</v>
      </c>
      <c r="AM444" s="16">
        <f t="shared" si="342"/>
        <v>0.13431139580535181</v>
      </c>
      <c r="AN444" s="16">
        <f t="shared" si="342"/>
        <v>12.325653476598823</v>
      </c>
      <c r="AO444" s="16">
        <f t="shared" si="342"/>
        <v>10.290319247856186</v>
      </c>
      <c r="AP444" s="16">
        <f t="shared" si="342"/>
        <v>1.797706374625478</v>
      </c>
      <c r="AQ444" s="16">
        <f t="shared" si="342"/>
        <v>8.265316664944726E-2</v>
      </c>
      <c r="AR444" s="16">
        <f t="shared" si="342"/>
        <v>6.1989874987085448E-2</v>
      </c>
      <c r="AS444" s="16">
        <f>SUM(AH444:AR444)</f>
        <v>100.00000000000004</v>
      </c>
      <c r="AT444" s="16">
        <f>AL444+0.899*AK444</f>
        <v>10.733381547680548</v>
      </c>
      <c r="AV444" s="1" t="s">
        <v>428</v>
      </c>
      <c r="AY444" s="41"/>
      <c r="AZ444" s="41"/>
      <c r="BA444" s="41">
        <v>213</v>
      </c>
      <c r="BB444" s="41"/>
      <c r="BC444" s="41">
        <v>305</v>
      </c>
      <c r="BD444" s="41"/>
      <c r="BE444" s="41">
        <v>60</v>
      </c>
      <c r="BF444" s="41"/>
      <c r="BG444" s="41">
        <v>171</v>
      </c>
      <c r="BH444" s="41"/>
      <c r="BI444" s="41">
        <v>366</v>
      </c>
      <c r="BJ444" s="41"/>
      <c r="BK444" s="41">
        <v>66</v>
      </c>
      <c r="BL444" s="41"/>
      <c r="BM444" s="41"/>
      <c r="BN444" s="41">
        <v>6</v>
      </c>
      <c r="BO444" s="41"/>
      <c r="BP444" s="41"/>
      <c r="BQ444" s="41">
        <v>99</v>
      </c>
      <c r="BR444" s="41"/>
      <c r="BS444" s="41">
        <v>13</v>
      </c>
      <c r="BT444" s="41"/>
      <c r="BU444" s="41">
        <v>49</v>
      </c>
      <c r="BV444" s="41"/>
      <c r="BW444" s="41">
        <v>4</v>
      </c>
    </row>
    <row r="445" spans="1:98">
      <c r="A445" s="1" t="s">
        <v>289</v>
      </c>
      <c r="B445" s="4" t="s">
        <v>290</v>
      </c>
      <c r="C445" s="40" t="s">
        <v>709</v>
      </c>
      <c r="D445" s="63">
        <v>67.22</v>
      </c>
      <c r="E445" s="63">
        <v>2.93</v>
      </c>
      <c r="F445" s="1" t="s">
        <v>308</v>
      </c>
      <c r="G445" s="4"/>
      <c r="H445" s="4"/>
      <c r="J445" s="40" t="s">
        <v>256</v>
      </c>
      <c r="K445" s="40"/>
      <c r="L445" s="4" t="s">
        <v>423</v>
      </c>
      <c r="M445" s="78" t="s">
        <v>867</v>
      </c>
      <c r="N445" s="78"/>
      <c r="O445" s="40"/>
      <c r="P445" s="4"/>
      <c r="Q445" s="4"/>
      <c r="R445" s="4">
        <v>48.6</v>
      </c>
      <c r="S445" s="4">
        <v>1.22</v>
      </c>
      <c r="T445" s="4">
        <v>15.54</v>
      </c>
      <c r="U445" s="4">
        <v>11.17</v>
      </c>
      <c r="W445" s="4">
        <v>0.18</v>
      </c>
      <c r="X445" s="4">
        <v>9.06</v>
      </c>
      <c r="Y445" s="4">
        <v>11.82</v>
      </c>
      <c r="Z445" s="4">
        <v>2.14</v>
      </c>
      <c r="AA445" s="4">
        <v>0.16</v>
      </c>
      <c r="AB445" s="4">
        <v>0.1</v>
      </c>
      <c r="AD445" s="23">
        <f>SUM(R445:AB445)+AC445</f>
        <v>99.99</v>
      </c>
      <c r="AE445" s="21">
        <f>V445+0.899*U445</f>
        <v>10.041830000000001</v>
      </c>
      <c r="AF445" s="23">
        <f>(X445/40.3)/((X445/40.3)+(AE445/71.844))</f>
        <v>0.6166268786919038</v>
      </c>
      <c r="AG445" s="45"/>
      <c r="AH445" s="16">
        <f t="shared" si="342"/>
        <v>48.604860486048608</v>
      </c>
      <c r="AI445" s="16">
        <f t="shared" si="342"/>
        <v>1.2201220122012202</v>
      </c>
      <c r="AJ445" s="16">
        <f t="shared" si="342"/>
        <v>15.541554155415543</v>
      </c>
      <c r="AK445" s="16">
        <f t="shared" si="342"/>
        <v>11.171117111711172</v>
      </c>
      <c r="AL445" s="16">
        <f t="shared" si="342"/>
        <v>0</v>
      </c>
      <c r="AM445" s="16">
        <f t="shared" si="342"/>
        <v>0.18001800180018002</v>
      </c>
      <c r="AN445" s="16">
        <f t="shared" si="342"/>
        <v>9.0609060906090608</v>
      </c>
      <c r="AO445" s="16">
        <f t="shared" si="342"/>
        <v>11.821182118211821</v>
      </c>
      <c r="AP445" s="16">
        <f t="shared" si="342"/>
        <v>2.1402140214021403</v>
      </c>
      <c r="AQ445" s="16">
        <f t="shared" si="342"/>
        <v>0.16001600160016002</v>
      </c>
      <c r="AR445" s="16">
        <f t="shared" si="342"/>
        <v>0.10001000100010002</v>
      </c>
      <c r="AS445" s="16">
        <f>SUM(AH445:AR445)</f>
        <v>100.00000000000001</v>
      </c>
      <c r="AT445" s="16">
        <f>AL445+0.899*AK445</f>
        <v>10.042834283428345</v>
      </c>
      <c r="AU445" s="45"/>
      <c r="AV445" s="4"/>
      <c r="AY445" s="39" t="s">
        <v>89</v>
      </c>
      <c r="BR445" s="39">
        <v>23.76</v>
      </c>
      <c r="BS445" s="39"/>
      <c r="BT445" s="39">
        <v>81.489999999999995</v>
      </c>
      <c r="BV445" s="39">
        <v>3.51</v>
      </c>
      <c r="BW445" s="39"/>
      <c r="CA445" s="39">
        <v>332.79</v>
      </c>
      <c r="CB445" s="39">
        <v>2.04</v>
      </c>
      <c r="CC445" s="39">
        <v>9.26</v>
      </c>
      <c r="CD445" s="39">
        <v>1.38</v>
      </c>
      <c r="CE445" s="39">
        <v>7.88</v>
      </c>
      <c r="CF445" s="39">
        <v>2.54</v>
      </c>
      <c r="CG445" s="39">
        <v>0.96</v>
      </c>
      <c r="CH445" s="39">
        <v>2.83</v>
      </c>
      <c r="CI445" s="39">
        <v>0.63</v>
      </c>
      <c r="CJ445" s="39">
        <v>3.83</v>
      </c>
      <c r="CK445" s="39">
        <v>0.84</v>
      </c>
      <c r="CL445" s="39">
        <v>2.31</v>
      </c>
      <c r="CM445" s="39">
        <v>0.39</v>
      </c>
      <c r="CN445" s="39">
        <v>2.21</v>
      </c>
      <c r="CO445" s="39">
        <v>0.33</v>
      </c>
      <c r="CP445" s="39">
        <v>2.15</v>
      </c>
      <c r="CQ445" s="39">
        <v>0.2</v>
      </c>
      <c r="CR445" s="39">
        <v>0.36</v>
      </c>
      <c r="CS445" s="39">
        <v>0.28999999999999998</v>
      </c>
      <c r="CT445" s="39">
        <v>0.06</v>
      </c>
    </row>
    <row r="446" spans="1:98">
      <c r="A446" s="1" t="s">
        <v>289</v>
      </c>
      <c r="B446" s="4" t="s">
        <v>290</v>
      </c>
      <c r="C446" s="40" t="s">
        <v>710</v>
      </c>
      <c r="D446" s="63">
        <v>67.22</v>
      </c>
      <c r="E446" s="63">
        <v>2.93</v>
      </c>
      <c r="F446" s="1" t="s">
        <v>308</v>
      </c>
      <c r="G446" s="4"/>
      <c r="H446" s="4"/>
      <c r="J446" s="40" t="s">
        <v>256</v>
      </c>
      <c r="K446" s="40"/>
      <c r="L446" s="4" t="s">
        <v>423</v>
      </c>
      <c r="M446" s="78" t="s">
        <v>867</v>
      </c>
      <c r="N446" s="78"/>
      <c r="O446" s="4"/>
      <c r="P446" s="4"/>
      <c r="Q446" s="4"/>
      <c r="AD446" s="23"/>
      <c r="AE446" s="23"/>
      <c r="AF446" s="23"/>
      <c r="AG446" s="45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45"/>
      <c r="AV446" s="4"/>
      <c r="AY446" s="39">
        <v>33.44</v>
      </c>
      <c r="BR446" s="39">
        <v>19.34</v>
      </c>
      <c r="BS446" s="39"/>
      <c r="BT446" s="39">
        <v>52.67</v>
      </c>
      <c r="BV446" s="39">
        <v>2.79</v>
      </c>
      <c r="BW446" s="39"/>
      <c r="CA446" s="39">
        <v>1353.02</v>
      </c>
      <c r="CB446" s="39">
        <v>1.29</v>
      </c>
      <c r="CC446" s="39">
        <v>7.79</v>
      </c>
      <c r="CD446" s="39">
        <v>1.21</v>
      </c>
      <c r="CE446" s="39">
        <v>6.59</v>
      </c>
      <c r="CF446" s="39">
        <v>2.1800000000000002</v>
      </c>
      <c r="CG446" s="39">
        <v>0.87</v>
      </c>
      <c r="CH446" s="39">
        <v>2.89</v>
      </c>
      <c r="CI446" s="39">
        <v>0.52</v>
      </c>
      <c r="CJ446" s="39">
        <v>3.33</v>
      </c>
      <c r="CK446" s="39">
        <v>0.71</v>
      </c>
      <c r="CL446" s="39">
        <v>2.04</v>
      </c>
      <c r="CM446" s="39">
        <v>0.32</v>
      </c>
      <c r="CN446" s="39">
        <v>1.92</v>
      </c>
      <c r="CO446" s="39">
        <v>0.3</v>
      </c>
      <c r="CP446" s="39">
        <v>1.51</v>
      </c>
      <c r="CQ446" s="39">
        <v>0.2</v>
      </c>
      <c r="CR446" s="39">
        <v>1.2</v>
      </c>
      <c r="CS446" s="39">
        <v>0.17</v>
      </c>
      <c r="CT446" s="39">
        <v>7.0000000000000007E-2</v>
      </c>
    </row>
    <row r="447" spans="1:98">
      <c r="A447" s="1" t="s">
        <v>289</v>
      </c>
      <c r="B447" s="4" t="s">
        <v>290</v>
      </c>
      <c r="C447" s="40" t="s">
        <v>711</v>
      </c>
      <c r="D447" s="63">
        <v>67.22</v>
      </c>
      <c r="E447" s="63">
        <v>2.93</v>
      </c>
      <c r="F447" s="1" t="s">
        <v>308</v>
      </c>
      <c r="G447" s="4"/>
      <c r="H447" s="4"/>
      <c r="J447" s="40" t="s">
        <v>256</v>
      </c>
      <c r="K447" s="40"/>
      <c r="L447" s="4" t="s">
        <v>423</v>
      </c>
      <c r="M447" s="78" t="s">
        <v>867</v>
      </c>
      <c r="N447" s="78"/>
      <c r="O447" s="4"/>
      <c r="P447" s="4"/>
      <c r="Q447" s="4"/>
      <c r="AD447" s="23"/>
      <c r="AE447" s="23"/>
      <c r="AF447" s="23"/>
      <c r="AG447" s="45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45"/>
      <c r="AV447" s="4"/>
      <c r="AY447" s="39" t="s">
        <v>89</v>
      </c>
      <c r="BR447" s="39">
        <v>21.98</v>
      </c>
      <c r="BS447" s="39"/>
      <c r="BT447" s="39">
        <v>63.39</v>
      </c>
      <c r="BV447" s="39">
        <v>3.26</v>
      </c>
      <c r="BW447" s="39"/>
      <c r="CA447" s="39">
        <v>19.760000000000002</v>
      </c>
      <c r="CB447" s="39">
        <v>2.59</v>
      </c>
      <c r="CC447" s="39">
        <v>8.82</v>
      </c>
      <c r="CD447" s="39">
        <v>1.36</v>
      </c>
      <c r="CE447" s="39">
        <v>7.37</v>
      </c>
      <c r="CF447" s="39">
        <v>2.46</v>
      </c>
      <c r="CG447" s="39">
        <v>0.93</v>
      </c>
      <c r="CH447" s="39">
        <v>2.95</v>
      </c>
      <c r="CI447" s="39">
        <v>0.56000000000000005</v>
      </c>
      <c r="CJ447" s="39">
        <v>3.71</v>
      </c>
      <c r="CK447" s="39">
        <v>0.8</v>
      </c>
      <c r="CL447" s="39">
        <v>2.2799999999999998</v>
      </c>
      <c r="CM447" s="39">
        <v>0.36</v>
      </c>
      <c r="CN447" s="39">
        <v>2.13</v>
      </c>
      <c r="CO447" s="39">
        <v>0.33</v>
      </c>
      <c r="CP447" s="39">
        <v>1.72</v>
      </c>
      <c r="CQ447" s="39">
        <v>0.19</v>
      </c>
      <c r="CR447" s="39">
        <v>0.25</v>
      </c>
      <c r="CS447" s="39"/>
      <c r="CT447" s="39">
        <v>0.08</v>
      </c>
    </row>
    <row r="448" spans="1:98">
      <c r="A448" s="1" t="s">
        <v>289</v>
      </c>
      <c r="B448" s="4" t="s">
        <v>290</v>
      </c>
      <c r="C448" s="40" t="s">
        <v>712</v>
      </c>
      <c r="D448" s="63">
        <v>67.22</v>
      </c>
      <c r="E448" s="63">
        <v>2.93</v>
      </c>
      <c r="F448" s="1" t="s">
        <v>308</v>
      </c>
      <c r="G448" s="4"/>
      <c r="H448" s="4"/>
      <c r="J448" s="40" t="s">
        <v>256</v>
      </c>
      <c r="K448" s="40"/>
      <c r="L448" s="4" t="s">
        <v>423</v>
      </c>
      <c r="M448" s="78" t="s">
        <v>867</v>
      </c>
      <c r="N448" s="78"/>
      <c r="O448" s="40"/>
      <c r="P448" s="4"/>
      <c r="Q448" s="4"/>
      <c r="R448" s="4">
        <v>49.09</v>
      </c>
      <c r="S448" s="4">
        <v>1.1299999999999999</v>
      </c>
      <c r="T448" s="4">
        <v>15.5</v>
      </c>
      <c r="U448" s="4">
        <v>11.34</v>
      </c>
      <c r="W448" s="4">
        <v>0.18</v>
      </c>
      <c r="X448" s="4">
        <v>8.18</v>
      </c>
      <c r="Y448" s="4">
        <v>12.49</v>
      </c>
      <c r="Z448" s="4">
        <v>1.88</v>
      </c>
      <c r="AA448" s="4">
        <v>0.14000000000000001</v>
      </c>
      <c r="AB448" s="4">
        <v>0.06</v>
      </c>
      <c r="AD448" s="23">
        <f>SUM(R448:AB448)+AC448</f>
        <v>99.990000000000009</v>
      </c>
      <c r="AE448" s="21">
        <f>V448+0.899*U448</f>
        <v>10.194660000000001</v>
      </c>
      <c r="AF448" s="23">
        <f>(X448/40.3)/((X448/40.3)+(AE448/71.844))</f>
        <v>0.58854984278979938</v>
      </c>
      <c r="AG448" s="45"/>
      <c r="AH448" s="16">
        <f t="shared" ref="AH448:AR448" si="343">100*R448/SUM($R448:$AB448)</f>
        <v>49.094909490949092</v>
      </c>
      <c r="AI448" s="16">
        <f t="shared" si="343"/>
        <v>1.13011301130113</v>
      </c>
      <c r="AJ448" s="16">
        <f t="shared" si="343"/>
        <v>15.501550155015501</v>
      </c>
      <c r="AK448" s="16">
        <f t="shared" si="343"/>
        <v>11.341134113411339</v>
      </c>
      <c r="AL448" s="16">
        <f t="shared" si="343"/>
        <v>0</v>
      </c>
      <c r="AM448" s="16">
        <f t="shared" si="343"/>
        <v>0.18001800180017999</v>
      </c>
      <c r="AN448" s="16">
        <f t="shared" si="343"/>
        <v>8.1808180818081802</v>
      </c>
      <c r="AO448" s="16">
        <f t="shared" si="343"/>
        <v>12.491249124912491</v>
      </c>
      <c r="AP448" s="16">
        <f t="shared" si="343"/>
        <v>1.88018801880188</v>
      </c>
      <c r="AQ448" s="16">
        <f t="shared" si="343"/>
        <v>0.14001400140014003</v>
      </c>
      <c r="AR448" s="16">
        <f t="shared" si="343"/>
        <v>6.0006000600059999E-2</v>
      </c>
      <c r="AS448" s="16">
        <f>SUM(AH448:AR448)</f>
        <v>99.999999999999986</v>
      </c>
      <c r="AT448" s="16">
        <f>AL448+0.899*AK448</f>
        <v>10.195679567956795</v>
      </c>
      <c r="AU448" s="45"/>
      <c r="AV448" s="4"/>
      <c r="AY448" s="39">
        <v>36.72</v>
      </c>
      <c r="BR448" s="39">
        <v>21.96</v>
      </c>
      <c r="BS448" s="39"/>
      <c r="BT448" s="39">
        <v>65.489999999999995</v>
      </c>
      <c r="BV448" s="39">
        <v>3.78</v>
      </c>
      <c r="BW448" s="39"/>
      <c r="CA448" s="39">
        <v>28.42</v>
      </c>
      <c r="CB448" s="39">
        <v>4.67</v>
      </c>
      <c r="CC448" s="39">
        <v>8.59</v>
      </c>
      <c r="CD448" s="39">
        <v>1.32</v>
      </c>
      <c r="CE448" s="39">
        <v>7.28</v>
      </c>
      <c r="CF448" s="39">
        <v>2.38</v>
      </c>
      <c r="CG448" s="39">
        <v>0.89</v>
      </c>
      <c r="CH448" s="39">
        <v>2.87</v>
      </c>
      <c r="CI448" s="39">
        <v>0.56999999999999995</v>
      </c>
      <c r="CJ448" s="39">
        <v>3.64</v>
      </c>
      <c r="CK448" s="39">
        <v>0.78</v>
      </c>
      <c r="CL448" s="39">
        <v>2.25</v>
      </c>
      <c r="CM448" s="39">
        <v>0.36</v>
      </c>
      <c r="CN448" s="39">
        <v>2.08</v>
      </c>
      <c r="CO448" s="39">
        <v>0.32</v>
      </c>
      <c r="CP448" s="39">
        <v>1.79</v>
      </c>
      <c r="CQ448" s="39">
        <v>0.18</v>
      </c>
      <c r="CR448" s="39"/>
      <c r="CS448" s="39">
        <v>0.21</v>
      </c>
      <c r="CT448" s="39">
        <v>0.08</v>
      </c>
    </row>
    <row r="449" spans="1:98">
      <c r="A449" s="1" t="s">
        <v>289</v>
      </c>
      <c r="B449" s="4" t="s">
        <v>290</v>
      </c>
      <c r="C449" s="40" t="s">
        <v>713</v>
      </c>
      <c r="D449" s="63">
        <v>67.22</v>
      </c>
      <c r="E449" s="63">
        <v>2.93</v>
      </c>
      <c r="F449" s="1" t="s">
        <v>308</v>
      </c>
      <c r="G449" s="4"/>
      <c r="H449" s="4"/>
      <c r="J449" s="40" t="s">
        <v>256</v>
      </c>
      <c r="K449" s="40"/>
      <c r="L449" s="4" t="s">
        <v>423</v>
      </c>
      <c r="M449" s="78" t="s">
        <v>867</v>
      </c>
      <c r="N449" s="78"/>
      <c r="O449" s="4"/>
      <c r="P449" s="4"/>
      <c r="Q449" s="4"/>
      <c r="AD449" s="23"/>
      <c r="AE449" s="23"/>
      <c r="AF449" s="23"/>
      <c r="AG449" s="45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45"/>
      <c r="AV449" s="4"/>
      <c r="AY449" s="39" t="s">
        <v>89</v>
      </c>
      <c r="BR449" s="39">
        <v>23.23</v>
      </c>
      <c r="BS449" s="39"/>
      <c r="BT449" s="39">
        <v>68.239999999999995</v>
      </c>
      <c r="BV449" s="39">
        <v>3.42</v>
      </c>
      <c r="BW449" s="39"/>
      <c r="CA449" s="39">
        <v>24.99</v>
      </c>
      <c r="CB449" s="39">
        <v>3.06</v>
      </c>
      <c r="CC449" s="39">
        <v>9.42</v>
      </c>
      <c r="CD449" s="39">
        <v>1.44</v>
      </c>
      <c r="CE449" s="39">
        <v>7.91</v>
      </c>
      <c r="CF449" s="39">
        <v>2.57</v>
      </c>
      <c r="CG449" s="39">
        <v>0.97</v>
      </c>
      <c r="CH449" s="39">
        <v>3.12</v>
      </c>
      <c r="CI449" s="39">
        <v>0.62</v>
      </c>
      <c r="CJ449" s="39">
        <v>3.91</v>
      </c>
      <c r="CK449" s="39">
        <v>0.83</v>
      </c>
      <c r="CL449" s="39">
        <v>2.4</v>
      </c>
      <c r="CM449" s="39">
        <v>0.38</v>
      </c>
      <c r="CN449" s="39">
        <v>2.2200000000000002</v>
      </c>
      <c r="CO449" s="39">
        <v>0.33</v>
      </c>
      <c r="CP449" s="39">
        <v>1.83</v>
      </c>
      <c r="CQ449" s="39">
        <v>0.2</v>
      </c>
      <c r="CR449" s="39">
        <v>1.3</v>
      </c>
      <c r="CS449" s="39"/>
      <c r="CT449" s="39">
        <v>0.05</v>
      </c>
    </row>
    <row r="450" spans="1:98">
      <c r="A450" s="1" t="s">
        <v>289</v>
      </c>
      <c r="B450" s="4" t="s">
        <v>290</v>
      </c>
      <c r="C450" s="40" t="s">
        <v>714</v>
      </c>
      <c r="D450" s="63">
        <v>67.22</v>
      </c>
      <c r="E450" s="63">
        <v>2.93</v>
      </c>
      <c r="F450" s="1" t="s">
        <v>308</v>
      </c>
      <c r="G450" s="4"/>
      <c r="H450" s="4"/>
      <c r="J450" s="40" t="s">
        <v>256</v>
      </c>
      <c r="K450" s="40"/>
      <c r="L450" s="4" t="s">
        <v>423</v>
      </c>
      <c r="M450" s="78" t="s">
        <v>867</v>
      </c>
      <c r="N450" s="78"/>
      <c r="O450" s="40"/>
      <c r="P450" s="4"/>
      <c r="Q450" s="4"/>
      <c r="R450" s="4">
        <v>48.33</v>
      </c>
      <c r="S450" s="4">
        <v>1.1599999999999999</v>
      </c>
      <c r="T450" s="4">
        <v>15.23</v>
      </c>
      <c r="U450" s="4">
        <v>11.58</v>
      </c>
      <c r="W450" s="4">
        <v>0.25</v>
      </c>
      <c r="X450" s="4">
        <v>9.44</v>
      </c>
      <c r="Y450" s="4">
        <v>12.02</v>
      </c>
      <c r="Z450" s="4">
        <v>1.81</v>
      </c>
      <c r="AA450" s="4">
        <v>0.11</v>
      </c>
      <c r="AB450" s="4">
        <v>0.08</v>
      </c>
      <c r="AD450" s="23">
        <f>SUM(R450:AB450)+AC450</f>
        <v>100.00999999999999</v>
      </c>
      <c r="AE450" s="21">
        <f>V450+0.899*U450</f>
        <v>10.41042</v>
      </c>
      <c r="AF450" s="23">
        <f>(X450/40.3)/((X450/40.3)+(AE450/71.844))</f>
        <v>0.61781738716136525</v>
      </c>
      <c r="AG450" s="45"/>
      <c r="AH450" s="16">
        <f t="shared" ref="AH450:AR450" si="344">100*R450/SUM($R450:$AB450)</f>
        <v>48.325167483251683</v>
      </c>
      <c r="AI450" s="16">
        <f t="shared" si="344"/>
        <v>1.15988401159884</v>
      </c>
      <c r="AJ450" s="16">
        <f t="shared" si="344"/>
        <v>15.228477152284773</v>
      </c>
      <c r="AK450" s="16">
        <f t="shared" si="344"/>
        <v>11.578842115788422</v>
      </c>
      <c r="AL450" s="16">
        <f t="shared" si="344"/>
        <v>0</v>
      </c>
      <c r="AM450" s="16">
        <f t="shared" si="344"/>
        <v>0.24997500249975005</v>
      </c>
      <c r="AN450" s="16">
        <f t="shared" si="344"/>
        <v>9.4390560943905619</v>
      </c>
      <c r="AO450" s="16">
        <f t="shared" si="344"/>
        <v>12.018798120187983</v>
      </c>
      <c r="AP450" s="16">
        <f t="shared" si="344"/>
        <v>1.8098190180981903</v>
      </c>
      <c r="AQ450" s="16">
        <f t="shared" si="344"/>
        <v>0.10998900109989002</v>
      </c>
      <c r="AR450" s="16">
        <f t="shared" si="344"/>
        <v>7.9992000799920013E-2</v>
      </c>
      <c r="AS450" s="16">
        <f>SUM(AH450:AR450)</f>
        <v>100.00000000000001</v>
      </c>
      <c r="AT450" s="16">
        <f>AL450+0.899*AK450</f>
        <v>10.409379062093793</v>
      </c>
      <c r="AU450" s="45"/>
      <c r="AV450" s="4"/>
      <c r="AY450" s="39" t="s">
        <v>89</v>
      </c>
      <c r="BR450" s="39">
        <v>22.6</v>
      </c>
      <c r="BS450" s="39"/>
      <c r="BT450" s="39">
        <v>78.78</v>
      </c>
      <c r="BV450" s="39">
        <v>3.24</v>
      </c>
      <c r="BW450" s="39"/>
      <c r="CA450" s="39">
        <v>66.989999999999995</v>
      </c>
      <c r="CB450" s="39">
        <v>2.4</v>
      </c>
      <c r="CC450" s="39">
        <v>8.7799999999999994</v>
      </c>
      <c r="CD450" s="39">
        <v>1.29</v>
      </c>
      <c r="CE450" s="39">
        <v>7.46</v>
      </c>
      <c r="CF450" s="39">
        <v>2.41</v>
      </c>
      <c r="CG450" s="39">
        <v>0.91</v>
      </c>
      <c r="CH450" s="39">
        <v>2.73</v>
      </c>
      <c r="CI450" s="39">
        <v>0.63</v>
      </c>
      <c r="CJ450" s="39">
        <v>3.82</v>
      </c>
      <c r="CK450" s="39">
        <v>0.82</v>
      </c>
      <c r="CL450" s="39">
        <v>2.33</v>
      </c>
      <c r="CM450" s="39">
        <v>0.38</v>
      </c>
      <c r="CN450" s="39">
        <v>2.12</v>
      </c>
      <c r="CO450" s="39">
        <v>0.33</v>
      </c>
      <c r="CP450" s="39">
        <v>2.19</v>
      </c>
      <c r="CQ450" s="39">
        <v>0.18</v>
      </c>
      <c r="CR450" s="39">
        <v>0.75</v>
      </c>
      <c r="CS450" s="39">
        <v>0.37</v>
      </c>
      <c r="CT450" s="39">
        <v>0.09</v>
      </c>
    </row>
    <row r="451" spans="1:98">
      <c r="A451" s="57" t="s">
        <v>649</v>
      </c>
      <c r="B451" s="46"/>
      <c r="C451" s="4"/>
      <c r="J451" s="38"/>
      <c r="L451" s="4"/>
      <c r="M451" s="4"/>
      <c r="N451" s="4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F451" s="23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Y451" s="46"/>
      <c r="AZ451" s="41"/>
      <c r="BA451" s="48"/>
      <c r="BB451" s="41"/>
      <c r="BC451" s="48"/>
      <c r="BD451" s="41"/>
      <c r="BE451" s="48"/>
      <c r="BF451" s="41"/>
      <c r="BG451" s="48"/>
      <c r="BH451" s="41"/>
      <c r="BI451" s="48"/>
      <c r="BJ451" s="41"/>
      <c r="BK451" s="48"/>
      <c r="BL451" s="41"/>
      <c r="BM451" s="41"/>
      <c r="BN451" s="41"/>
      <c r="BO451" s="48"/>
      <c r="BP451" s="41"/>
      <c r="BQ451" s="48"/>
      <c r="BR451" s="46"/>
      <c r="BS451" s="48"/>
      <c r="BT451" s="41"/>
      <c r="BU451" s="48"/>
      <c r="BV451" s="41"/>
      <c r="BW451" s="48"/>
      <c r="CA451" s="46"/>
      <c r="CB451" s="46"/>
      <c r="CC451" s="46"/>
      <c r="CD451" s="46"/>
      <c r="CE451" s="46"/>
      <c r="CF451" s="46"/>
      <c r="CG451" s="46"/>
      <c r="CH451" s="46"/>
      <c r="CI451" s="46"/>
      <c r="CJ451" s="46"/>
      <c r="CK451" s="46"/>
      <c r="CL451" s="46"/>
      <c r="CM451" s="46"/>
      <c r="CN451" s="46"/>
      <c r="CO451" s="46"/>
      <c r="CP451" s="46"/>
      <c r="CQ451" s="46"/>
      <c r="CR451" s="46"/>
      <c r="CS451" s="46"/>
      <c r="CT451" s="46"/>
    </row>
    <row r="452" spans="1:98">
      <c r="A452" s="1" t="s">
        <v>289</v>
      </c>
      <c r="B452" s="4" t="s">
        <v>290</v>
      </c>
      <c r="C452" s="1" t="s">
        <v>651</v>
      </c>
      <c r="D452" s="63">
        <v>67.22</v>
      </c>
      <c r="E452" s="63">
        <v>2.93</v>
      </c>
      <c r="F452" s="1" t="s">
        <v>308</v>
      </c>
      <c r="G452" s="46" t="s">
        <v>471</v>
      </c>
      <c r="J452" s="38" t="s">
        <v>420</v>
      </c>
      <c r="L452" s="4" t="s">
        <v>426</v>
      </c>
      <c r="M452" s="78" t="s">
        <v>866</v>
      </c>
      <c r="N452" s="78"/>
      <c r="R452" s="4">
        <v>47.8</v>
      </c>
      <c r="S452" s="1">
        <v>1.47</v>
      </c>
      <c r="T452" s="1">
        <v>14.86</v>
      </c>
      <c r="U452" s="1">
        <v>4.4800000000000004</v>
      </c>
      <c r="V452" s="1">
        <v>6.81</v>
      </c>
      <c r="W452" s="1">
        <v>0.18</v>
      </c>
      <c r="X452" s="1">
        <v>8.56</v>
      </c>
      <c r="Y452" s="1">
        <v>11.31</v>
      </c>
      <c r="Z452" s="1">
        <v>1.99</v>
      </c>
      <c r="AA452" s="1">
        <v>0.12</v>
      </c>
      <c r="AB452" s="1">
        <v>0.13</v>
      </c>
      <c r="AC452" s="9">
        <v>2.13</v>
      </c>
      <c r="AD452" s="23">
        <f>SUM(R452:AB452)+AC452</f>
        <v>99.84</v>
      </c>
      <c r="AE452" s="21">
        <f>V452+0.899*U452</f>
        <v>10.837520000000001</v>
      </c>
      <c r="AF452" s="23">
        <f>(X452/40.3)/((X452/40.3)+(AE452/71.844))</f>
        <v>0.58473251179589913</v>
      </c>
      <c r="AH452" s="16">
        <f t="shared" ref="AH452:AR454" si="345">100*R452/SUM($R452:$AB452)</f>
        <v>48.920274281035717</v>
      </c>
      <c r="AI452" s="16">
        <f t="shared" si="345"/>
        <v>1.5044519496469142</v>
      </c>
      <c r="AJ452" s="16">
        <f t="shared" si="345"/>
        <v>15.208269368539554</v>
      </c>
      <c r="AK452" s="16">
        <f t="shared" si="345"/>
        <v>4.5849964179715483</v>
      </c>
      <c r="AL452" s="16">
        <f t="shared" si="345"/>
        <v>6.9696039299969295</v>
      </c>
      <c r="AM452" s="16">
        <f t="shared" si="345"/>
        <v>0.18421860607921398</v>
      </c>
      <c r="AN452" s="16">
        <f t="shared" si="345"/>
        <v>8.7606181557670659</v>
      </c>
      <c r="AO452" s="16">
        <f t="shared" si="345"/>
        <v>11.575069081977279</v>
      </c>
      <c r="AP452" s="16">
        <f t="shared" si="345"/>
        <v>2.0366390338757547</v>
      </c>
      <c r="AQ452" s="16">
        <f t="shared" si="345"/>
        <v>0.12281240405280933</v>
      </c>
      <c r="AR452" s="16">
        <f t="shared" si="345"/>
        <v>0.13304677105721011</v>
      </c>
      <c r="AS452" s="16">
        <f>SUM(AH452:AR452)</f>
        <v>100</v>
      </c>
      <c r="AT452" s="16">
        <f>AL452+0.899*AK452</f>
        <v>11.091515709753352</v>
      </c>
      <c r="AY452" s="46">
        <v>39.799999999999997</v>
      </c>
      <c r="AZ452" s="41"/>
      <c r="BA452" s="48">
        <v>297</v>
      </c>
      <c r="BB452" s="41"/>
      <c r="BC452" s="48">
        <v>267</v>
      </c>
      <c r="BD452" s="41"/>
      <c r="BE452" s="48">
        <v>51.6</v>
      </c>
      <c r="BF452" s="41"/>
      <c r="BG452" s="48">
        <v>151</v>
      </c>
      <c r="BH452" s="41"/>
      <c r="BI452" s="48">
        <v>171</v>
      </c>
      <c r="BJ452" s="41"/>
      <c r="BK452" s="48">
        <v>96</v>
      </c>
      <c r="BL452" s="41"/>
      <c r="BM452" s="41"/>
      <c r="BN452" s="41"/>
      <c r="BO452" s="48">
        <v>5</v>
      </c>
      <c r="BP452" s="41"/>
      <c r="BQ452" s="48">
        <v>141</v>
      </c>
      <c r="BR452" s="48"/>
      <c r="BS452" s="48">
        <v>26</v>
      </c>
      <c r="BT452" s="41"/>
      <c r="BU452" s="48">
        <v>83</v>
      </c>
      <c r="BV452" s="41"/>
      <c r="BW452" s="48">
        <v>3</v>
      </c>
      <c r="CA452" s="46"/>
      <c r="CB452" s="46">
        <v>4.7</v>
      </c>
      <c r="CC452" s="46">
        <v>13.4</v>
      </c>
      <c r="CD452" s="46"/>
      <c r="CE452" s="46">
        <v>10</v>
      </c>
      <c r="CF452" s="46">
        <v>3.28</v>
      </c>
      <c r="CG452" s="46">
        <v>1.22</v>
      </c>
      <c r="CH452" s="46"/>
      <c r="CI452" s="46">
        <v>0.71</v>
      </c>
      <c r="CJ452" s="46"/>
      <c r="CK452" s="46"/>
      <c r="CL452" s="46"/>
      <c r="CM452" s="46"/>
      <c r="CN452" s="46">
        <v>2.48</v>
      </c>
      <c r="CO452" s="46">
        <v>0.38</v>
      </c>
      <c r="CP452" s="46">
        <v>2.2000000000000002</v>
      </c>
      <c r="CQ452" s="46">
        <v>0.32</v>
      </c>
      <c r="CR452" s="46"/>
      <c r="CS452" s="46">
        <v>0.48</v>
      </c>
      <c r="CT452" s="46"/>
    </row>
    <row r="453" spans="1:98">
      <c r="A453" s="1" t="s">
        <v>289</v>
      </c>
      <c r="B453" s="4" t="s">
        <v>290</v>
      </c>
      <c r="C453" s="1" t="s">
        <v>625</v>
      </c>
      <c r="D453" s="63">
        <v>67.22</v>
      </c>
      <c r="E453" s="63">
        <v>2.93</v>
      </c>
      <c r="F453" s="1" t="s">
        <v>308</v>
      </c>
      <c r="G453" s="46" t="s">
        <v>472</v>
      </c>
      <c r="J453" s="38" t="s">
        <v>420</v>
      </c>
      <c r="L453" s="4" t="s">
        <v>426</v>
      </c>
      <c r="M453" s="78" t="s">
        <v>866</v>
      </c>
      <c r="N453" s="78"/>
      <c r="R453" s="4">
        <v>48</v>
      </c>
      <c r="S453" s="1">
        <v>1.48</v>
      </c>
      <c r="T453" s="1">
        <v>15.1</v>
      </c>
      <c r="U453" s="1">
        <v>4.66</v>
      </c>
      <c r="V453" s="1">
        <v>6.6</v>
      </c>
      <c r="W453" s="1">
        <v>0.18</v>
      </c>
      <c r="X453" s="1">
        <v>8.36</v>
      </c>
      <c r="Y453" s="1">
        <v>11.49</v>
      </c>
      <c r="Z453" s="1">
        <v>1.95</v>
      </c>
      <c r="AA453" s="1">
        <v>0.13</v>
      </c>
      <c r="AB453" s="1">
        <v>0.13</v>
      </c>
      <c r="AC453" s="9">
        <v>2.27</v>
      </c>
      <c r="AD453" s="23">
        <f>SUM(R453:AB453)+AC453</f>
        <v>100.34999999999998</v>
      </c>
      <c r="AE453" s="21">
        <f>V453+0.899*U453</f>
        <v>10.789339999999999</v>
      </c>
      <c r="AF453" s="23">
        <f>(X453/40.3)/((X453/40.3)+(AE453/71.844))</f>
        <v>0.58006627187646653</v>
      </c>
      <c r="AH453" s="16">
        <f t="shared" si="345"/>
        <v>48.939641109298542</v>
      </c>
      <c r="AI453" s="16">
        <f t="shared" si="345"/>
        <v>1.508972267536705</v>
      </c>
      <c r="AJ453" s="16">
        <f t="shared" si="345"/>
        <v>15.395595432300166</v>
      </c>
      <c r="AK453" s="16">
        <f t="shared" si="345"/>
        <v>4.7512234910277336</v>
      </c>
      <c r="AL453" s="16">
        <f t="shared" si="345"/>
        <v>6.729200652528549</v>
      </c>
      <c r="AM453" s="16">
        <f t="shared" si="345"/>
        <v>0.18352365415986951</v>
      </c>
      <c r="AN453" s="16">
        <f t="shared" si="345"/>
        <v>8.5236541598694959</v>
      </c>
      <c r="AO453" s="16">
        <f t="shared" si="345"/>
        <v>11.714926590538338</v>
      </c>
      <c r="AP453" s="16">
        <f t="shared" si="345"/>
        <v>1.9881729200652531</v>
      </c>
      <c r="AQ453" s="16">
        <f t="shared" si="345"/>
        <v>0.13254486133768353</v>
      </c>
      <c r="AR453" s="16">
        <f t="shared" si="345"/>
        <v>0.13254486133768353</v>
      </c>
      <c r="AS453" s="16">
        <f>SUM(AH453:AR453)</f>
        <v>100</v>
      </c>
      <c r="AT453" s="16">
        <f>AL453+0.899*AK453</f>
        <v>11.000550570962481</v>
      </c>
      <c r="AY453" s="46">
        <v>40.200000000000003</v>
      </c>
      <c r="AZ453" s="41"/>
      <c r="BA453" s="48">
        <v>291</v>
      </c>
      <c r="BB453" s="41"/>
      <c r="BC453" s="48">
        <v>274</v>
      </c>
      <c r="BD453" s="41"/>
      <c r="BE453" s="48">
        <v>52.6</v>
      </c>
      <c r="BF453" s="41"/>
      <c r="BG453" s="48">
        <v>149</v>
      </c>
      <c r="BH453" s="41"/>
      <c r="BI453" s="48">
        <v>148</v>
      </c>
      <c r="BJ453" s="41"/>
      <c r="BK453" s="48">
        <v>103</v>
      </c>
      <c r="BL453" s="41"/>
      <c r="BM453" s="41"/>
      <c r="BN453" s="41"/>
      <c r="BO453" s="48">
        <v>3</v>
      </c>
      <c r="BP453" s="41"/>
      <c r="BQ453" s="48">
        <v>135</v>
      </c>
      <c r="BR453" s="48"/>
      <c r="BS453" s="48">
        <v>26</v>
      </c>
      <c r="BT453" s="41"/>
      <c r="BU453" s="48">
        <v>83</v>
      </c>
      <c r="BV453" s="41"/>
      <c r="BW453" s="48">
        <v>5</v>
      </c>
      <c r="CA453" s="46"/>
      <c r="CB453" s="46">
        <v>4.8</v>
      </c>
      <c r="CC453" s="46">
        <v>14.1</v>
      </c>
      <c r="CD453" s="46"/>
      <c r="CE453" s="46">
        <v>10.7</v>
      </c>
      <c r="CF453" s="46">
        <v>3.36</v>
      </c>
      <c r="CG453" s="46">
        <v>1.26</v>
      </c>
      <c r="CH453" s="46"/>
      <c r="CI453" s="46">
        <v>0.74</v>
      </c>
      <c r="CJ453" s="46"/>
      <c r="CK453" s="46"/>
      <c r="CL453" s="46"/>
      <c r="CM453" s="46"/>
      <c r="CN453" s="46">
        <v>2.58</v>
      </c>
      <c r="CO453" s="46">
        <v>0.39</v>
      </c>
      <c r="CP453" s="46">
        <v>2.2200000000000002</v>
      </c>
      <c r="CQ453" s="46">
        <v>0.33</v>
      </c>
      <c r="CR453" s="46"/>
      <c r="CS453" s="46">
        <v>0.53</v>
      </c>
      <c r="CT453" s="46">
        <v>0.1</v>
      </c>
    </row>
    <row r="454" spans="1:98">
      <c r="A454" s="1" t="s">
        <v>289</v>
      </c>
      <c r="B454" s="4" t="s">
        <v>290</v>
      </c>
      <c r="C454" s="1" t="s">
        <v>626</v>
      </c>
      <c r="D454" s="63">
        <v>67.22</v>
      </c>
      <c r="E454" s="63">
        <v>2.93</v>
      </c>
      <c r="F454" s="1" t="s">
        <v>308</v>
      </c>
      <c r="G454" s="46" t="s">
        <v>473</v>
      </c>
      <c r="J454" s="38" t="s">
        <v>420</v>
      </c>
      <c r="L454" s="4" t="s">
        <v>426</v>
      </c>
      <c r="M454" s="78" t="s">
        <v>866</v>
      </c>
      <c r="N454" s="78"/>
      <c r="R454" s="4">
        <v>48.3</v>
      </c>
      <c r="S454" s="1">
        <v>1.58</v>
      </c>
      <c r="T454" s="1">
        <v>15.87</v>
      </c>
      <c r="U454" s="1">
        <v>5.27</v>
      </c>
      <c r="V454" s="1">
        <v>5.51</v>
      </c>
      <c r="W454" s="1">
        <v>0.14000000000000001</v>
      </c>
      <c r="X454" s="1">
        <v>7.88</v>
      </c>
      <c r="Y454" s="1">
        <v>11.52</v>
      </c>
      <c r="Z454" s="1">
        <v>2.2200000000000002</v>
      </c>
      <c r="AA454" s="1">
        <v>0.16</v>
      </c>
      <c r="AB454" s="1">
        <v>0.14000000000000001</v>
      </c>
      <c r="AC454" s="9">
        <v>2.35</v>
      </c>
      <c r="AD454" s="23">
        <f>SUM(R454:AB454)+AC454</f>
        <v>100.93999999999998</v>
      </c>
      <c r="AE454" s="21">
        <f>V454+0.899*U454</f>
        <v>10.247730000000001</v>
      </c>
      <c r="AF454" s="23">
        <f>(X454/40.3)/((X454/40.3)+(AE454/71.844))</f>
        <v>0.57820701349232451</v>
      </c>
      <c r="AH454" s="16">
        <f t="shared" si="345"/>
        <v>48.99076985495487</v>
      </c>
      <c r="AI454" s="16">
        <f t="shared" si="345"/>
        <v>1.6025966122324782</v>
      </c>
      <c r="AJ454" s="16">
        <f t="shared" si="345"/>
        <v>16.0969672380566</v>
      </c>
      <c r="AK454" s="16">
        <f t="shared" si="345"/>
        <v>5.3453697129526327</v>
      </c>
      <c r="AL454" s="16">
        <f t="shared" si="345"/>
        <v>5.5888021097474399</v>
      </c>
      <c r="AM454" s="16">
        <f t="shared" si="345"/>
        <v>0.14200223146363733</v>
      </c>
      <c r="AN454" s="16">
        <f t="shared" si="345"/>
        <v>7.9926970280961562</v>
      </c>
      <c r="AO454" s="16">
        <f t="shared" si="345"/>
        <v>11.684755046150727</v>
      </c>
      <c r="AP454" s="16">
        <f t="shared" si="345"/>
        <v>2.2517496703519631</v>
      </c>
      <c r="AQ454" s="16">
        <f t="shared" si="345"/>
        <v>0.16228826452987119</v>
      </c>
      <c r="AR454" s="16">
        <f t="shared" si="345"/>
        <v>0.14200223146363733</v>
      </c>
      <c r="AS454" s="16">
        <f>SUM(AH454:AR454)</f>
        <v>100.00000000000001</v>
      </c>
      <c r="AT454" s="16">
        <f>AL454+0.899*AK454</f>
        <v>10.394289481691857</v>
      </c>
      <c r="AY454" s="46">
        <v>41.6</v>
      </c>
      <c r="AZ454" s="41"/>
      <c r="BA454" s="48">
        <v>314</v>
      </c>
      <c r="BB454" s="41"/>
      <c r="BC454" s="48">
        <v>266</v>
      </c>
      <c r="BD454" s="41"/>
      <c r="BE454" s="48">
        <v>50.3</v>
      </c>
      <c r="BF454" s="41"/>
      <c r="BG454" s="48">
        <v>142</v>
      </c>
      <c r="BH454" s="41"/>
      <c r="BI454" s="48">
        <v>146</v>
      </c>
      <c r="BJ454" s="41"/>
      <c r="BK454" s="48">
        <v>105</v>
      </c>
      <c r="BL454" s="41"/>
      <c r="BM454" s="41"/>
      <c r="BN454" s="41"/>
      <c r="BO454" s="48">
        <v>2</v>
      </c>
      <c r="BP454" s="41"/>
      <c r="BQ454" s="48">
        <v>144</v>
      </c>
      <c r="BR454" s="48"/>
      <c r="BS454" s="48">
        <v>26</v>
      </c>
      <c r="BT454" s="41"/>
      <c r="BU454" s="48">
        <v>86</v>
      </c>
      <c r="BV454" s="41"/>
      <c r="BW454" s="48">
        <v>5</v>
      </c>
      <c r="CA454" s="46"/>
      <c r="CB454" s="46">
        <v>5.2</v>
      </c>
      <c r="CC454" s="46">
        <v>14.1</v>
      </c>
      <c r="CD454" s="46"/>
      <c r="CE454" s="46">
        <v>10.8</v>
      </c>
      <c r="CF454" s="46">
        <v>3.44</v>
      </c>
      <c r="CG454" s="46">
        <v>1.31</v>
      </c>
      <c r="CH454" s="46"/>
      <c r="CI454" s="46">
        <v>0.74</v>
      </c>
      <c r="CJ454" s="46"/>
      <c r="CK454" s="46"/>
      <c r="CL454" s="46"/>
      <c r="CM454" s="46"/>
      <c r="CN454" s="46">
        <v>2.4700000000000002</v>
      </c>
      <c r="CO454" s="46">
        <v>0.38</v>
      </c>
      <c r="CP454" s="46">
        <v>2.31</v>
      </c>
      <c r="CQ454" s="46">
        <v>0.33</v>
      </c>
      <c r="CR454" s="46"/>
      <c r="CS454" s="46">
        <v>0.51</v>
      </c>
      <c r="CT454" s="46"/>
    </row>
    <row r="455" spans="1:98">
      <c r="A455" s="56" t="s">
        <v>645</v>
      </c>
      <c r="B455" s="4"/>
      <c r="J455" s="38"/>
      <c r="L455" s="4"/>
      <c r="M455" s="4"/>
      <c r="N455" s="4"/>
      <c r="S455" s="1"/>
      <c r="T455" s="1"/>
      <c r="U455" s="1"/>
      <c r="V455" s="1"/>
      <c r="W455" s="1"/>
      <c r="X455" s="1"/>
      <c r="Y455" s="1"/>
      <c r="Z455" s="1"/>
      <c r="AA455" s="1"/>
      <c r="AB455" s="1"/>
      <c r="AD455" s="23"/>
      <c r="AF455" s="23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Y455" s="41"/>
      <c r="AZ455" s="41"/>
      <c r="BA455" s="41"/>
      <c r="BB455" s="41"/>
      <c r="BC455" s="41"/>
      <c r="BD455" s="41"/>
      <c r="BE455" s="41"/>
      <c r="BF455" s="41"/>
      <c r="BG455" s="41"/>
      <c r="BH455" s="41"/>
      <c r="BI455" s="41"/>
      <c r="BJ455" s="41"/>
      <c r="BK455" s="41"/>
      <c r="BL455" s="41"/>
      <c r="BM455" s="41"/>
      <c r="BN455" s="41"/>
      <c r="BO455" s="41"/>
      <c r="BP455" s="41"/>
      <c r="BQ455" s="41"/>
      <c r="BR455" s="41"/>
      <c r="BS455" s="41"/>
      <c r="BT455" s="41"/>
      <c r="BU455" s="41"/>
      <c r="BV455" s="41"/>
      <c r="BW455" s="41"/>
    </row>
    <row r="456" spans="1:98">
      <c r="A456" s="1" t="s">
        <v>289</v>
      </c>
      <c r="B456" s="4" t="s">
        <v>290</v>
      </c>
      <c r="C456" s="50" t="s">
        <v>452</v>
      </c>
      <c r="D456" s="63">
        <v>67.22</v>
      </c>
      <c r="E456" s="63">
        <v>2.93</v>
      </c>
      <c r="F456" s="1" t="s">
        <v>309</v>
      </c>
      <c r="G456" s="46" t="s">
        <v>305</v>
      </c>
      <c r="J456" s="38" t="s">
        <v>256</v>
      </c>
      <c r="L456" s="1" t="s">
        <v>514</v>
      </c>
      <c r="M456" s="78" t="s">
        <v>868</v>
      </c>
      <c r="N456" s="78"/>
      <c r="Q456" s="1" t="s">
        <v>312</v>
      </c>
      <c r="R456" s="47">
        <v>59.05</v>
      </c>
      <c r="S456" s="47">
        <v>1.28</v>
      </c>
      <c r="T456" s="47">
        <v>15.69</v>
      </c>
      <c r="U456" s="47">
        <v>10.28</v>
      </c>
      <c r="V456" s="47"/>
      <c r="W456" s="47">
        <v>0.06</v>
      </c>
      <c r="X456" s="47">
        <v>1.6</v>
      </c>
      <c r="Y456" s="47">
        <v>2.2599999999999998</v>
      </c>
      <c r="Z456" s="47">
        <v>2.02</v>
      </c>
      <c r="AA456" s="47">
        <v>1.03</v>
      </c>
      <c r="AB456" s="47">
        <v>0.09</v>
      </c>
      <c r="AC456" s="9">
        <v>6.79</v>
      </c>
      <c r="AD456" s="23">
        <f t="shared" ref="AD456:AD466" si="346">SUM(R456:AB456)+AC456</f>
        <v>100.15</v>
      </c>
      <c r="AE456" s="21">
        <f t="shared" ref="AE456:AE466" si="347">V456+0.899*U456</f>
        <v>9.241719999999999</v>
      </c>
      <c r="AF456" s="23">
        <f t="shared" ref="AF456:AF466" si="348">(X456/40.3)/((X456/40.3)+(AE456/71.844))</f>
        <v>0.23584807912492303</v>
      </c>
      <c r="AH456" s="16">
        <f t="shared" ref="AH456:AH466" si="349">100*R456/SUM($R456:$AB456)</f>
        <v>63.249785775492718</v>
      </c>
      <c r="AI456" s="16">
        <f t="shared" ref="AI456:AI466" si="350">100*S456/SUM($R456:$AB456)</f>
        <v>1.3710368466152527</v>
      </c>
      <c r="AJ456" s="16">
        <f t="shared" ref="AJ456:AJ466" si="351">100*T456/SUM($R456:$AB456)</f>
        <v>16.805912596401029</v>
      </c>
      <c r="AK456" s="16">
        <f t="shared" ref="AK456:AK466" si="352">100*U456/SUM($R456:$AB456)</f>
        <v>11.011139674378748</v>
      </c>
      <c r="AL456" s="16">
        <f t="shared" ref="AL456:AL466" si="353">100*V456/SUM($R456:$AB456)</f>
        <v>0</v>
      </c>
      <c r="AM456" s="16">
        <f t="shared" ref="AM456:AM466" si="354">100*W456/SUM($R456:$AB456)</f>
        <v>6.4267352185089971E-2</v>
      </c>
      <c r="AN456" s="16">
        <f t="shared" ref="AN456:AN466" si="355">100*X456/SUM($R456:$AB456)</f>
        <v>1.7137960582690659</v>
      </c>
      <c r="AO456" s="16">
        <f t="shared" ref="AO456:AO466" si="356">100*Y456/SUM($R456:$AB456)</f>
        <v>2.4207369323050556</v>
      </c>
      <c r="AP456" s="16">
        <f t="shared" ref="AP456:AP466" si="357">100*Z456/SUM($R456:$AB456)</f>
        <v>2.1636675235646958</v>
      </c>
      <c r="AQ456" s="16">
        <f t="shared" ref="AQ456:AQ466" si="358">100*AA456/SUM($R456:$AB456)</f>
        <v>1.1032562125107113</v>
      </c>
      <c r="AR456" s="16">
        <f t="shared" ref="AR456:AR466" si="359">100*AB456/SUM($R456:$AB456)</f>
        <v>9.6401028277634956E-2</v>
      </c>
      <c r="AS456" s="16">
        <f t="shared" ref="AS456:AS466" si="360">SUM(AH456:AR456)</f>
        <v>100.00000000000001</v>
      </c>
      <c r="AT456" s="16">
        <f t="shared" ref="AT456:AT466" si="361">AL456+0.899*AK456</f>
        <v>9.8990145672664944</v>
      </c>
      <c r="AY456" s="46">
        <v>31</v>
      </c>
      <c r="AZ456" s="41"/>
      <c r="BA456" s="48">
        <v>117</v>
      </c>
      <c r="BB456" s="41"/>
      <c r="BC456" s="48">
        <v>116</v>
      </c>
      <c r="BD456" s="41"/>
      <c r="BE456" s="48">
        <v>15</v>
      </c>
      <c r="BF456" s="41"/>
      <c r="BG456" s="48">
        <v>5</v>
      </c>
      <c r="BH456" s="41"/>
      <c r="BI456" s="48">
        <v>12</v>
      </c>
      <c r="BJ456" s="41"/>
      <c r="BK456" s="48">
        <v>100</v>
      </c>
      <c r="BL456" s="41"/>
      <c r="BM456" s="41"/>
      <c r="BN456" s="41"/>
      <c r="BO456" s="48">
        <v>59</v>
      </c>
      <c r="BP456" s="41"/>
      <c r="BQ456" s="48">
        <v>102</v>
      </c>
      <c r="BR456" s="46"/>
      <c r="BS456" s="48">
        <v>28</v>
      </c>
      <c r="BT456" s="41"/>
      <c r="BU456" s="48">
        <v>270</v>
      </c>
      <c r="BV456" s="41"/>
      <c r="BW456" s="48">
        <v>20</v>
      </c>
      <c r="CA456" s="46">
        <v>279</v>
      </c>
      <c r="CB456" s="46"/>
      <c r="CC456" s="46"/>
      <c r="CD456" s="46"/>
      <c r="CE456" s="46"/>
      <c r="CF456" s="46"/>
      <c r="CG456" s="46"/>
      <c r="CH456" s="46"/>
      <c r="CI456" s="46"/>
      <c r="CJ456" s="46"/>
      <c r="CK456" s="46"/>
      <c r="CL456" s="46"/>
      <c r="CM456" s="46"/>
      <c r="CN456" s="46"/>
      <c r="CO456" s="46"/>
      <c r="CP456" s="46"/>
      <c r="CQ456" s="46"/>
      <c r="CR456" s="46">
        <v>16</v>
      </c>
      <c r="CS456" s="46"/>
      <c r="CT456" s="46"/>
    </row>
    <row r="457" spans="1:98">
      <c r="A457" s="1" t="s">
        <v>289</v>
      </c>
      <c r="B457" s="4" t="s">
        <v>290</v>
      </c>
      <c r="C457" s="50" t="s">
        <v>448</v>
      </c>
      <c r="D457" s="63">
        <v>67.22</v>
      </c>
      <c r="E457" s="63">
        <v>2.93</v>
      </c>
      <c r="F457" s="1" t="s">
        <v>309</v>
      </c>
      <c r="G457" s="46" t="s">
        <v>305</v>
      </c>
      <c r="J457" s="38" t="s">
        <v>256</v>
      </c>
      <c r="L457" s="1" t="s">
        <v>514</v>
      </c>
      <c r="M457" s="78" t="s">
        <v>868</v>
      </c>
      <c r="N457" s="78"/>
      <c r="Q457" s="1" t="s">
        <v>312</v>
      </c>
      <c r="R457" s="47">
        <v>59.9</v>
      </c>
      <c r="S457" s="47">
        <v>1.26</v>
      </c>
      <c r="T457" s="47">
        <v>15.2</v>
      </c>
      <c r="U457" s="47">
        <v>9.76</v>
      </c>
      <c r="V457" s="47"/>
      <c r="W457" s="47">
        <v>0.11</v>
      </c>
      <c r="X457" s="47">
        <v>1.76</v>
      </c>
      <c r="Y457" s="47">
        <v>2.44</v>
      </c>
      <c r="Z457" s="47">
        <v>2.1800000000000002</v>
      </c>
      <c r="AA457" s="47">
        <v>1.1399999999999999</v>
      </c>
      <c r="AB457" s="47">
        <v>0.14000000000000001</v>
      </c>
      <c r="AC457" s="9">
        <v>5.7</v>
      </c>
      <c r="AD457" s="23">
        <f t="shared" si="346"/>
        <v>99.590000000000018</v>
      </c>
      <c r="AE457" s="21">
        <f t="shared" si="347"/>
        <v>8.7742400000000007</v>
      </c>
      <c r="AF457" s="23">
        <f t="shared" si="348"/>
        <v>0.26340203733918627</v>
      </c>
      <c r="AH457" s="16">
        <f t="shared" si="349"/>
        <v>63.798061561401632</v>
      </c>
      <c r="AI457" s="16">
        <f t="shared" si="350"/>
        <v>1.3419959527106187</v>
      </c>
      <c r="AJ457" s="16">
        <f t="shared" si="351"/>
        <v>16.189157524763019</v>
      </c>
      <c r="AK457" s="16">
        <f t="shared" si="352"/>
        <v>10.395143252742569</v>
      </c>
      <c r="AL457" s="16">
        <f t="shared" si="353"/>
        <v>0</v>
      </c>
      <c r="AM457" s="16">
        <f t="shared" si="354"/>
        <v>0.11715837682394289</v>
      </c>
      <c r="AN457" s="16">
        <f t="shared" si="355"/>
        <v>1.8745340291830863</v>
      </c>
      <c r="AO457" s="16">
        <f t="shared" si="356"/>
        <v>2.5987858131856423</v>
      </c>
      <c r="AP457" s="16">
        <f t="shared" si="357"/>
        <v>2.3218660134199594</v>
      </c>
      <c r="AQ457" s="16">
        <f t="shared" si="358"/>
        <v>1.2141868143572263</v>
      </c>
      <c r="AR457" s="16">
        <f t="shared" si="359"/>
        <v>0.14911066141229098</v>
      </c>
      <c r="AS457" s="16">
        <f t="shared" si="360"/>
        <v>99.999999999999972</v>
      </c>
      <c r="AT457" s="16">
        <f t="shared" si="361"/>
        <v>9.3452337842155693</v>
      </c>
      <c r="AY457" s="46">
        <v>26</v>
      </c>
      <c r="AZ457" s="41"/>
      <c r="BA457" s="48">
        <v>159</v>
      </c>
      <c r="BB457" s="41"/>
      <c r="BC457" s="48">
        <v>65</v>
      </c>
      <c r="BD457" s="41"/>
      <c r="BE457" s="48">
        <v>10</v>
      </c>
      <c r="BF457" s="41"/>
      <c r="BG457" s="48">
        <v>12</v>
      </c>
      <c r="BH457" s="41"/>
      <c r="BI457" s="48">
        <v>13</v>
      </c>
      <c r="BJ457" s="41"/>
      <c r="BK457" s="48">
        <v>165</v>
      </c>
      <c r="BL457" s="41"/>
      <c r="BM457" s="41"/>
      <c r="BN457" s="41"/>
      <c r="BO457" s="48">
        <v>61</v>
      </c>
      <c r="BP457" s="41"/>
      <c r="BQ457" s="48">
        <v>119</v>
      </c>
      <c r="BR457" s="46"/>
      <c r="BS457" s="48">
        <v>34</v>
      </c>
      <c r="BT457" s="41"/>
      <c r="BU457" s="48">
        <v>197</v>
      </c>
      <c r="BV457" s="41"/>
      <c r="BW457" s="48">
        <v>20</v>
      </c>
      <c r="CA457" s="46"/>
      <c r="CB457" s="46">
        <v>23</v>
      </c>
      <c r="CC457" s="46">
        <v>63.5</v>
      </c>
      <c r="CD457" s="46"/>
      <c r="CE457" s="46">
        <v>28.5</v>
      </c>
      <c r="CF457" s="46">
        <v>5.66</v>
      </c>
      <c r="CG457" s="46">
        <v>0.92</v>
      </c>
      <c r="CH457" s="46"/>
      <c r="CI457" s="46">
        <v>0.78</v>
      </c>
      <c r="CJ457" s="46"/>
      <c r="CK457" s="46">
        <v>1.43</v>
      </c>
      <c r="CL457" s="46"/>
      <c r="CM457" s="46"/>
      <c r="CN457" s="46">
        <v>3.46</v>
      </c>
      <c r="CO457" s="46">
        <v>0.6</v>
      </c>
      <c r="CP457" s="46">
        <v>7.23</v>
      </c>
      <c r="CQ457" s="46">
        <v>1.1599999999999999</v>
      </c>
      <c r="CR457" s="46">
        <v>28</v>
      </c>
      <c r="CS457" s="46">
        <v>12.2</v>
      </c>
      <c r="CT457" s="46"/>
    </row>
    <row r="458" spans="1:98">
      <c r="A458" s="1" t="s">
        <v>289</v>
      </c>
      <c r="B458" s="4" t="s">
        <v>290</v>
      </c>
      <c r="C458" s="50" t="s">
        <v>454</v>
      </c>
      <c r="D458" s="63">
        <v>67.22</v>
      </c>
      <c r="E458" s="63">
        <v>2.93</v>
      </c>
      <c r="F458" s="1" t="s">
        <v>309</v>
      </c>
      <c r="G458" s="46" t="s">
        <v>461</v>
      </c>
      <c r="J458" s="38" t="s">
        <v>256</v>
      </c>
      <c r="L458" s="1" t="s">
        <v>514</v>
      </c>
      <c r="M458" s="78" t="s">
        <v>868</v>
      </c>
      <c r="N458" s="78"/>
      <c r="Q458" s="1" t="s">
        <v>312</v>
      </c>
      <c r="R458" s="47">
        <v>61.31</v>
      </c>
      <c r="S458" s="47">
        <v>1.32</v>
      </c>
      <c r="T458" s="47">
        <v>15.22</v>
      </c>
      <c r="U458" s="47">
        <v>8.2100000000000009</v>
      </c>
      <c r="V458" s="47"/>
      <c r="W458" s="47">
        <v>0.2</v>
      </c>
      <c r="X458" s="47">
        <v>1</v>
      </c>
      <c r="Y458" s="47">
        <v>3.11</v>
      </c>
      <c r="Z458" s="47">
        <v>2.16</v>
      </c>
      <c r="AA458" s="47">
        <v>0.49</v>
      </c>
      <c r="AB458" s="47">
        <v>0.19</v>
      </c>
      <c r="AC458" s="9">
        <v>7.03</v>
      </c>
      <c r="AD458" s="23">
        <f t="shared" si="346"/>
        <v>100.24</v>
      </c>
      <c r="AE458" s="21">
        <f t="shared" si="347"/>
        <v>7.3807900000000011</v>
      </c>
      <c r="AF458" s="23">
        <f t="shared" si="348"/>
        <v>0.19454637740274447</v>
      </c>
      <c r="AH458" s="16">
        <f t="shared" si="349"/>
        <v>65.77620426992813</v>
      </c>
      <c r="AI458" s="16">
        <f t="shared" si="350"/>
        <v>1.4161570646926296</v>
      </c>
      <c r="AJ458" s="16">
        <f t="shared" si="351"/>
        <v>16.328720094410471</v>
      </c>
      <c r="AK458" s="16">
        <f t="shared" si="352"/>
        <v>8.8080678038837057</v>
      </c>
      <c r="AL458" s="16">
        <f t="shared" si="353"/>
        <v>0</v>
      </c>
      <c r="AM458" s="16">
        <f t="shared" si="354"/>
        <v>0.214569252226156</v>
      </c>
      <c r="AN458" s="16">
        <f t="shared" si="355"/>
        <v>1.0728462611307801</v>
      </c>
      <c r="AO458" s="16">
        <f t="shared" si="356"/>
        <v>3.336551872116726</v>
      </c>
      <c r="AP458" s="16">
        <f t="shared" si="357"/>
        <v>2.317347924042485</v>
      </c>
      <c r="AQ458" s="16">
        <f t="shared" si="358"/>
        <v>0.52569466795408226</v>
      </c>
      <c r="AR458" s="16">
        <f t="shared" si="359"/>
        <v>0.20384078961484819</v>
      </c>
      <c r="AS458" s="16">
        <f t="shared" si="360"/>
        <v>100</v>
      </c>
      <c r="AT458" s="16">
        <f t="shared" si="361"/>
        <v>7.9184529556914516</v>
      </c>
      <c r="AY458" s="46">
        <v>30</v>
      </c>
      <c r="AZ458" s="41"/>
      <c r="BA458" s="48">
        <v>119</v>
      </c>
      <c r="BB458" s="41"/>
      <c r="BC458" s="48">
        <v>76</v>
      </c>
      <c r="BD458" s="41"/>
      <c r="BE458" s="48">
        <v>12</v>
      </c>
      <c r="BF458" s="41"/>
      <c r="BG458" s="48">
        <v>3</v>
      </c>
      <c r="BH458" s="41"/>
      <c r="BI458" s="48">
        <v>10</v>
      </c>
      <c r="BJ458" s="41"/>
      <c r="BK458" s="48">
        <v>57</v>
      </c>
      <c r="BL458" s="41"/>
      <c r="BM458" s="41"/>
      <c r="BN458" s="41"/>
      <c r="BO458" s="48">
        <v>34</v>
      </c>
      <c r="BP458" s="41"/>
      <c r="BQ458" s="48">
        <v>158</v>
      </c>
      <c r="BR458" s="46"/>
      <c r="BS458" s="48">
        <v>82</v>
      </c>
      <c r="BT458" s="41"/>
      <c r="BU458" s="48">
        <v>276</v>
      </c>
      <c r="BV458" s="41"/>
      <c r="BW458" s="48">
        <v>23</v>
      </c>
      <c r="CA458" s="46">
        <v>228</v>
      </c>
      <c r="CB458" s="46"/>
      <c r="CC458" s="46"/>
      <c r="CD458" s="46"/>
      <c r="CE458" s="46"/>
      <c r="CF458" s="46"/>
      <c r="CG458" s="46"/>
      <c r="CH458" s="46"/>
      <c r="CI458" s="46"/>
      <c r="CJ458" s="46"/>
      <c r="CK458" s="46"/>
      <c r="CL458" s="46"/>
      <c r="CM458" s="46"/>
      <c r="CN458" s="46"/>
      <c r="CO458" s="46"/>
      <c r="CP458" s="46"/>
      <c r="CQ458" s="46"/>
      <c r="CR458" s="46">
        <v>14</v>
      </c>
      <c r="CS458" s="46"/>
      <c r="CT458" s="46"/>
    </row>
    <row r="459" spans="1:98">
      <c r="A459" s="1" t="s">
        <v>289</v>
      </c>
      <c r="B459" s="4" t="s">
        <v>290</v>
      </c>
      <c r="C459" s="50" t="s">
        <v>457</v>
      </c>
      <c r="D459" s="63">
        <v>67.22</v>
      </c>
      <c r="E459" s="63">
        <v>2.93</v>
      </c>
      <c r="F459" s="1" t="s">
        <v>309</v>
      </c>
      <c r="G459" s="46" t="s">
        <v>306</v>
      </c>
      <c r="J459" s="38" t="s">
        <v>256</v>
      </c>
      <c r="L459" s="1" t="s">
        <v>514</v>
      </c>
      <c r="M459" s="78" t="s">
        <v>868</v>
      </c>
      <c r="N459" s="78"/>
      <c r="Q459" s="1" t="s">
        <v>312</v>
      </c>
      <c r="R459" s="47">
        <v>53</v>
      </c>
      <c r="S459" s="47">
        <v>1.33</v>
      </c>
      <c r="T459" s="47">
        <v>16.100000000000001</v>
      </c>
      <c r="U459" s="47">
        <v>7.64</v>
      </c>
      <c r="V459" s="47"/>
      <c r="W459" s="47">
        <v>0.41</v>
      </c>
      <c r="X459" s="47">
        <v>1.01</v>
      </c>
      <c r="Y459" s="47">
        <v>7.66</v>
      </c>
      <c r="Z459" s="47">
        <v>2.5499999999999998</v>
      </c>
      <c r="AA459" s="47">
        <v>0.45</v>
      </c>
      <c r="AB459" s="47">
        <v>0.21</v>
      </c>
      <c r="AC459" s="9">
        <v>8.5399999999999991</v>
      </c>
      <c r="AD459" s="23">
        <f t="shared" si="346"/>
        <v>98.9</v>
      </c>
      <c r="AE459" s="21">
        <f t="shared" si="347"/>
        <v>6.86836</v>
      </c>
      <c r="AF459" s="23">
        <f t="shared" si="348"/>
        <v>0.20770263003026918</v>
      </c>
      <c r="AH459" s="16">
        <f t="shared" si="349"/>
        <v>58.654271801682164</v>
      </c>
      <c r="AI459" s="16">
        <f t="shared" si="350"/>
        <v>1.4718902169101373</v>
      </c>
      <c r="AJ459" s="16">
        <f t="shared" si="351"/>
        <v>17.81761841522798</v>
      </c>
      <c r="AK459" s="16">
        <f t="shared" si="352"/>
        <v>8.4550686144311644</v>
      </c>
      <c r="AL459" s="16">
        <f t="shared" si="353"/>
        <v>0</v>
      </c>
      <c r="AM459" s="16">
        <f t="shared" si="354"/>
        <v>0.45374059318282428</v>
      </c>
      <c r="AN459" s="16">
        <f t="shared" si="355"/>
        <v>1.117751217352811</v>
      </c>
      <c r="AO459" s="16">
        <f t="shared" si="356"/>
        <v>8.4772023019034979</v>
      </c>
      <c r="AP459" s="16">
        <f t="shared" si="357"/>
        <v>2.8220451527224433</v>
      </c>
      <c r="AQ459" s="16">
        <f t="shared" si="358"/>
        <v>0.49800796812749004</v>
      </c>
      <c r="AR459" s="16">
        <f t="shared" si="359"/>
        <v>0.23240371845949534</v>
      </c>
      <c r="AS459" s="16">
        <f t="shared" si="360"/>
        <v>100.00000000000001</v>
      </c>
      <c r="AT459" s="16">
        <f t="shared" si="361"/>
        <v>7.601106684373617</v>
      </c>
      <c r="AY459" s="46"/>
      <c r="AZ459" s="41"/>
      <c r="BA459" s="48"/>
      <c r="BB459" s="41"/>
      <c r="BC459" s="48"/>
      <c r="BD459" s="41"/>
      <c r="BE459" s="48"/>
      <c r="BF459" s="41"/>
      <c r="BG459" s="48"/>
      <c r="BH459" s="41"/>
      <c r="BI459" s="48"/>
      <c r="BJ459" s="41"/>
      <c r="BK459" s="48"/>
      <c r="BL459" s="41"/>
      <c r="BM459" s="41"/>
      <c r="BN459" s="41"/>
      <c r="BO459" s="48"/>
      <c r="BP459" s="41"/>
      <c r="BQ459" s="48"/>
      <c r="BR459" s="46"/>
      <c r="BS459" s="48"/>
      <c r="BT459" s="41"/>
      <c r="BU459" s="48"/>
      <c r="BV459" s="41"/>
      <c r="BW459" s="48"/>
      <c r="CA459" s="46">
        <v>129.77000000000001</v>
      </c>
      <c r="CB459" s="46"/>
      <c r="CC459" s="46">
        <v>86.24</v>
      </c>
      <c r="CD459" s="46"/>
      <c r="CE459" s="46">
        <v>41.8</v>
      </c>
      <c r="CF459" s="46">
        <v>9.1</v>
      </c>
      <c r="CG459" s="46">
        <v>1.55</v>
      </c>
      <c r="CH459" s="46">
        <v>6.98</v>
      </c>
      <c r="CI459" s="46">
        <v>1.35</v>
      </c>
      <c r="CJ459" s="46"/>
      <c r="CK459" s="46"/>
      <c r="CL459" s="46"/>
      <c r="CM459" s="46"/>
      <c r="CN459" s="46">
        <v>6.27</v>
      </c>
      <c r="CO459" s="46">
        <v>0.9</v>
      </c>
      <c r="CP459" s="46">
        <v>7.39</v>
      </c>
      <c r="CQ459" s="46">
        <v>1.29</v>
      </c>
      <c r="CR459" s="46"/>
      <c r="CS459" s="46">
        <v>13.31</v>
      </c>
      <c r="CT459" s="46"/>
    </row>
    <row r="460" spans="1:98">
      <c r="A460" s="1" t="s">
        <v>289</v>
      </c>
      <c r="B460" s="4" t="s">
        <v>290</v>
      </c>
      <c r="C460" s="50" t="s">
        <v>436</v>
      </c>
      <c r="D460" s="63">
        <v>67.22</v>
      </c>
      <c r="E460" s="63">
        <v>2.93</v>
      </c>
      <c r="F460" s="1" t="s">
        <v>309</v>
      </c>
      <c r="G460" s="46" t="s">
        <v>461</v>
      </c>
      <c r="J460" s="38" t="s">
        <v>256</v>
      </c>
      <c r="L460" s="1" t="s">
        <v>514</v>
      </c>
      <c r="M460" s="78" t="s">
        <v>868</v>
      </c>
      <c r="N460" s="78"/>
      <c r="Q460" s="1" t="s">
        <v>312</v>
      </c>
      <c r="R460" s="47">
        <v>59.4</v>
      </c>
      <c r="S460" s="47">
        <v>1.4</v>
      </c>
      <c r="T460" s="47">
        <v>17.100000000000001</v>
      </c>
      <c r="U460" s="47">
        <v>6.95</v>
      </c>
      <c r="V460" s="47"/>
      <c r="W460" s="47">
        <v>7.0000000000000007E-2</v>
      </c>
      <c r="X460" s="47">
        <v>0.81</v>
      </c>
      <c r="Y460" s="47">
        <v>3.8</v>
      </c>
      <c r="Z460" s="47">
        <v>2.59</v>
      </c>
      <c r="AA460" s="47">
        <v>0.54</v>
      </c>
      <c r="AB460" s="47">
        <v>0.05</v>
      </c>
      <c r="AC460" s="9">
        <v>0.16</v>
      </c>
      <c r="AD460" s="23">
        <f t="shared" si="346"/>
        <v>92.87</v>
      </c>
      <c r="AE460" s="21">
        <f t="shared" si="347"/>
        <v>6.2480500000000001</v>
      </c>
      <c r="AF460" s="23">
        <f t="shared" si="348"/>
        <v>0.18772744177228523</v>
      </c>
      <c r="AH460" s="16">
        <f t="shared" si="349"/>
        <v>64.070758278502851</v>
      </c>
      <c r="AI460" s="16">
        <f t="shared" si="350"/>
        <v>1.5100852119512458</v>
      </c>
      <c r="AJ460" s="16">
        <f t="shared" si="351"/>
        <v>18.444612231690218</v>
      </c>
      <c r="AK460" s="16">
        <f t="shared" si="352"/>
        <v>7.4964944450436839</v>
      </c>
      <c r="AL460" s="16">
        <f t="shared" si="353"/>
        <v>0</v>
      </c>
      <c r="AM460" s="16">
        <f t="shared" si="354"/>
        <v>7.5504260597562295E-2</v>
      </c>
      <c r="AN460" s="16">
        <f t="shared" si="355"/>
        <v>0.87369215834322067</v>
      </c>
      <c r="AO460" s="16">
        <f t="shared" si="356"/>
        <v>4.0988027181533813</v>
      </c>
      <c r="AP460" s="16">
        <f t="shared" si="357"/>
        <v>2.7936576421098045</v>
      </c>
      <c r="AQ460" s="16">
        <f t="shared" si="358"/>
        <v>0.58246143889548052</v>
      </c>
      <c r="AR460" s="16">
        <f t="shared" si="359"/>
        <v>5.3931614712544491E-2</v>
      </c>
      <c r="AS460" s="16">
        <f t="shared" si="360"/>
        <v>99.999999999999986</v>
      </c>
      <c r="AT460" s="16">
        <f t="shared" si="361"/>
        <v>6.7393485060942719</v>
      </c>
      <c r="AY460" s="46"/>
      <c r="AZ460" s="41"/>
      <c r="BA460" s="48"/>
      <c r="BB460" s="41"/>
      <c r="BC460" s="48"/>
      <c r="BD460" s="41"/>
      <c r="BE460" s="48"/>
      <c r="BF460" s="41"/>
      <c r="BG460" s="48"/>
      <c r="BH460" s="41"/>
      <c r="BI460" s="48"/>
      <c r="BJ460" s="41"/>
      <c r="BK460" s="48"/>
      <c r="BL460" s="41"/>
      <c r="BM460" s="41"/>
      <c r="BN460" s="41"/>
      <c r="BO460" s="48"/>
      <c r="BP460" s="41"/>
      <c r="BQ460" s="48"/>
      <c r="BR460" s="46"/>
      <c r="BS460" s="48"/>
      <c r="BT460" s="41"/>
      <c r="BU460" s="48"/>
      <c r="BV460" s="41"/>
      <c r="BW460" s="48"/>
      <c r="CA460" s="46">
        <v>149.91</v>
      </c>
      <c r="CB460" s="46"/>
      <c r="CC460" s="46">
        <v>42.54</v>
      </c>
      <c r="CD460" s="46"/>
      <c r="CE460" s="46">
        <v>16.559999999999999</v>
      </c>
      <c r="CF460" s="46">
        <v>2.58</v>
      </c>
      <c r="CG460" s="46">
        <v>1.32</v>
      </c>
      <c r="CH460" s="46"/>
      <c r="CI460" s="46">
        <v>0.43</v>
      </c>
      <c r="CJ460" s="46"/>
      <c r="CK460" s="46"/>
      <c r="CL460" s="46"/>
      <c r="CM460" s="46"/>
      <c r="CN460" s="46">
        <v>1.35</v>
      </c>
      <c r="CO460" s="46">
        <v>0.17</v>
      </c>
      <c r="CP460" s="46">
        <v>7.99</v>
      </c>
      <c r="CQ460" s="46">
        <v>1.36</v>
      </c>
      <c r="CR460" s="46"/>
      <c r="CS460" s="46">
        <v>11.58</v>
      </c>
      <c r="CT460" s="46"/>
    </row>
    <row r="461" spans="1:98">
      <c r="A461" s="1" t="s">
        <v>289</v>
      </c>
      <c r="B461" s="4" t="s">
        <v>290</v>
      </c>
      <c r="C461" s="50" t="s">
        <v>453</v>
      </c>
      <c r="D461" s="63">
        <v>67.22</v>
      </c>
      <c r="E461" s="63">
        <v>2.93</v>
      </c>
      <c r="F461" s="1" t="s">
        <v>309</v>
      </c>
      <c r="G461" s="46" t="s">
        <v>461</v>
      </c>
      <c r="J461" s="38" t="s">
        <v>256</v>
      </c>
      <c r="L461" s="1" t="s">
        <v>514</v>
      </c>
      <c r="M461" s="78" t="s">
        <v>868</v>
      </c>
      <c r="N461" s="78"/>
      <c r="Q461" s="1" t="s">
        <v>312</v>
      </c>
      <c r="R461" s="47">
        <v>58.6</v>
      </c>
      <c r="S461" s="47">
        <v>1.2</v>
      </c>
      <c r="T461" s="47">
        <v>14.8</v>
      </c>
      <c r="U461" s="47">
        <v>9.67</v>
      </c>
      <c r="V461" s="47"/>
      <c r="W461" s="47">
        <v>0.13</v>
      </c>
      <c r="X461" s="47">
        <v>1.54</v>
      </c>
      <c r="Y461" s="47">
        <v>2.78</v>
      </c>
      <c r="Z461" s="47">
        <v>2.2200000000000002</v>
      </c>
      <c r="AA461" s="47">
        <v>1.71</v>
      </c>
      <c r="AB461" s="47">
        <v>0.18</v>
      </c>
      <c r="AC461" s="9">
        <v>6.93</v>
      </c>
      <c r="AD461" s="23">
        <f t="shared" si="346"/>
        <v>99.760000000000019</v>
      </c>
      <c r="AE461" s="21">
        <f t="shared" si="347"/>
        <v>8.6933299999999996</v>
      </c>
      <c r="AF461" s="23">
        <f t="shared" si="348"/>
        <v>0.24000939266560897</v>
      </c>
      <c r="AH461" s="16">
        <f t="shared" si="349"/>
        <v>63.126144565334471</v>
      </c>
      <c r="AI461" s="16">
        <f t="shared" si="350"/>
        <v>1.2926855542389313</v>
      </c>
      <c r="AJ461" s="16">
        <f t="shared" si="351"/>
        <v>15.943121835613486</v>
      </c>
      <c r="AK461" s="16">
        <f t="shared" si="352"/>
        <v>10.416891091242054</v>
      </c>
      <c r="AL461" s="16">
        <f t="shared" si="353"/>
        <v>0</v>
      </c>
      <c r="AM461" s="16">
        <f t="shared" si="354"/>
        <v>0.14004093504255088</v>
      </c>
      <c r="AN461" s="16">
        <f t="shared" si="355"/>
        <v>1.6589464612732951</v>
      </c>
      <c r="AO461" s="16">
        <f t="shared" si="356"/>
        <v>2.9947215339868571</v>
      </c>
      <c r="AP461" s="16">
        <f t="shared" si="357"/>
        <v>2.3914682753420231</v>
      </c>
      <c r="AQ461" s="16">
        <f t="shared" si="358"/>
        <v>1.842076914790477</v>
      </c>
      <c r="AR461" s="16">
        <f t="shared" si="359"/>
        <v>0.19390283313583967</v>
      </c>
      <c r="AS461" s="16">
        <f t="shared" si="360"/>
        <v>99.999999999999972</v>
      </c>
      <c r="AT461" s="16">
        <f t="shared" si="361"/>
        <v>9.3647850910266062</v>
      </c>
      <c r="AY461" s="46"/>
      <c r="AZ461" s="41"/>
      <c r="BA461" s="48"/>
      <c r="BB461" s="41"/>
      <c r="BC461" s="48"/>
      <c r="BD461" s="41"/>
      <c r="BE461" s="48"/>
      <c r="BF461" s="41"/>
      <c r="BG461" s="48"/>
      <c r="BH461" s="41"/>
      <c r="BI461" s="48"/>
      <c r="BJ461" s="41"/>
      <c r="BK461" s="48"/>
      <c r="BL461" s="41"/>
      <c r="BM461" s="41"/>
      <c r="BN461" s="41"/>
      <c r="BO461" s="48"/>
      <c r="BP461" s="41"/>
      <c r="BQ461" s="48"/>
      <c r="BR461" s="46"/>
      <c r="BS461" s="48"/>
      <c r="BT461" s="41"/>
      <c r="BU461" s="48"/>
      <c r="BV461" s="41"/>
      <c r="BW461" s="48"/>
      <c r="CA461" s="46">
        <v>301.49</v>
      </c>
      <c r="CB461" s="46"/>
      <c r="CC461" s="46">
        <v>79.010000000000005</v>
      </c>
      <c r="CD461" s="46"/>
      <c r="CE461" s="46">
        <v>38.33</v>
      </c>
      <c r="CF461" s="46">
        <v>8.35</v>
      </c>
      <c r="CG461" s="46">
        <v>1.21</v>
      </c>
      <c r="CH461" s="46">
        <v>9.3000000000000007</v>
      </c>
      <c r="CI461" s="46">
        <v>1.36</v>
      </c>
      <c r="CJ461" s="46"/>
      <c r="CK461" s="46"/>
      <c r="CL461" s="46"/>
      <c r="CM461" s="46"/>
      <c r="CN461" s="46">
        <v>5.21</v>
      </c>
      <c r="CO461" s="46">
        <v>0.75</v>
      </c>
      <c r="CP461" s="46">
        <v>7.02</v>
      </c>
      <c r="CQ461" s="46">
        <v>1.18</v>
      </c>
      <c r="CR461" s="46"/>
      <c r="CS461" s="46">
        <v>13.04</v>
      </c>
      <c r="CT461" s="46"/>
    </row>
    <row r="462" spans="1:98">
      <c r="A462" s="1" t="s">
        <v>289</v>
      </c>
      <c r="B462" s="4" t="s">
        <v>290</v>
      </c>
      <c r="C462" s="50" t="s">
        <v>442</v>
      </c>
      <c r="D462" s="63">
        <v>67.22</v>
      </c>
      <c r="E462" s="63">
        <v>2.93</v>
      </c>
      <c r="F462" s="1" t="s">
        <v>309</v>
      </c>
      <c r="G462" s="46" t="s">
        <v>461</v>
      </c>
      <c r="J462" s="38" t="s">
        <v>256</v>
      </c>
      <c r="L462" s="1" t="s">
        <v>514</v>
      </c>
      <c r="M462" s="78" t="s">
        <v>868</v>
      </c>
      <c r="N462" s="78"/>
      <c r="Q462" s="1" t="s">
        <v>312</v>
      </c>
      <c r="R462" s="47">
        <v>61.1</v>
      </c>
      <c r="S462" s="47">
        <v>1.28</v>
      </c>
      <c r="T462" s="47">
        <v>14.8</v>
      </c>
      <c r="U462" s="47">
        <v>9.34</v>
      </c>
      <c r="V462" s="47"/>
      <c r="W462" s="47">
        <v>0.12</v>
      </c>
      <c r="X462" s="47">
        <v>1.1599999999999999</v>
      </c>
      <c r="Y462" s="47">
        <v>2.88</v>
      </c>
      <c r="Z462" s="47">
        <v>2.31</v>
      </c>
      <c r="AA462" s="47">
        <v>1.61</v>
      </c>
      <c r="AB462" s="47">
        <v>0.28000000000000003</v>
      </c>
      <c r="AC462" s="9">
        <v>4.92</v>
      </c>
      <c r="AD462" s="23">
        <f t="shared" si="346"/>
        <v>99.800000000000011</v>
      </c>
      <c r="AE462" s="21">
        <f t="shared" si="347"/>
        <v>8.3966600000000007</v>
      </c>
      <c r="AF462" s="23">
        <f t="shared" si="348"/>
        <v>0.19761491744521573</v>
      </c>
      <c r="AH462" s="16">
        <f t="shared" si="349"/>
        <v>64.397133220910618</v>
      </c>
      <c r="AI462" s="16">
        <f t="shared" si="350"/>
        <v>1.3490725126475547</v>
      </c>
      <c r="AJ462" s="16">
        <f t="shared" si="351"/>
        <v>15.59865092748735</v>
      </c>
      <c r="AK462" s="16">
        <f t="shared" si="352"/>
        <v>9.8440134907251249</v>
      </c>
      <c r="AL462" s="16">
        <f t="shared" si="353"/>
        <v>0</v>
      </c>
      <c r="AM462" s="16">
        <f t="shared" si="354"/>
        <v>0.12647554806070824</v>
      </c>
      <c r="AN462" s="16">
        <f t="shared" si="355"/>
        <v>1.2225969645868462</v>
      </c>
      <c r="AO462" s="16">
        <f t="shared" si="356"/>
        <v>3.0354131534569979</v>
      </c>
      <c r="AP462" s="16">
        <f t="shared" si="357"/>
        <v>2.4346543001686336</v>
      </c>
      <c r="AQ462" s="16">
        <f t="shared" si="358"/>
        <v>1.6968802698145025</v>
      </c>
      <c r="AR462" s="16">
        <f t="shared" si="359"/>
        <v>0.2951096121416526</v>
      </c>
      <c r="AS462" s="16">
        <f t="shared" si="360"/>
        <v>100</v>
      </c>
      <c r="AT462" s="16">
        <f t="shared" si="361"/>
        <v>8.8497681281618874</v>
      </c>
      <c r="AY462" s="46">
        <v>31</v>
      </c>
      <c r="AZ462" s="41"/>
      <c r="BA462" s="48">
        <v>165</v>
      </c>
      <c r="BB462" s="41"/>
      <c r="BC462" s="48">
        <v>68</v>
      </c>
      <c r="BD462" s="41"/>
      <c r="BE462" s="48">
        <v>10</v>
      </c>
      <c r="BF462" s="41"/>
      <c r="BG462" s="48">
        <v>10</v>
      </c>
      <c r="BH462" s="41"/>
      <c r="BI462" s="48">
        <v>12</v>
      </c>
      <c r="BJ462" s="41"/>
      <c r="BK462" s="48">
        <v>122</v>
      </c>
      <c r="BL462" s="41"/>
      <c r="BM462" s="41"/>
      <c r="BN462" s="41"/>
      <c r="BO462" s="48">
        <v>84</v>
      </c>
      <c r="BP462" s="41"/>
      <c r="BQ462" s="48">
        <v>143</v>
      </c>
      <c r="BR462" s="46"/>
      <c r="BS462" s="48">
        <v>82</v>
      </c>
      <c r="BT462" s="41"/>
      <c r="BU462" s="48">
        <v>285</v>
      </c>
      <c r="BV462" s="41"/>
      <c r="BW462" s="48">
        <v>19</v>
      </c>
      <c r="CA462" s="46"/>
      <c r="CB462" s="46"/>
      <c r="CC462" s="46"/>
      <c r="CD462" s="46"/>
      <c r="CE462" s="46"/>
      <c r="CF462" s="46"/>
      <c r="CG462" s="46"/>
      <c r="CH462" s="46"/>
      <c r="CI462" s="46"/>
      <c r="CJ462" s="46"/>
      <c r="CK462" s="46"/>
      <c r="CL462" s="46"/>
      <c r="CM462" s="46"/>
      <c r="CN462" s="46"/>
      <c r="CO462" s="46"/>
      <c r="CP462" s="46"/>
      <c r="CQ462" s="46"/>
      <c r="CR462" s="46">
        <v>28</v>
      </c>
      <c r="CS462" s="46"/>
      <c r="CT462" s="46"/>
    </row>
    <row r="463" spans="1:98">
      <c r="A463" s="1" t="s">
        <v>289</v>
      </c>
      <c r="B463" s="4" t="s">
        <v>290</v>
      </c>
      <c r="C463" s="50" t="s">
        <v>450</v>
      </c>
      <c r="D463" s="63">
        <v>67.22</v>
      </c>
      <c r="E463" s="63">
        <v>2.93</v>
      </c>
      <c r="F463" s="1" t="s">
        <v>309</v>
      </c>
      <c r="G463" s="46" t="s">
        <v>461</v>
      </c>
      <c r="J463" s="38" t="s">
        <v>256</v>
      </c>
      <c r="L463" s="1" t="s">
        <v>514</v>
      </c>
      <c r="M463" s="78" t="s">
        <v>868</v>
      </c>
      <c r="N463" s="78"/>
      <c r="Q463" s="1" t="s">
        <v>312</v>
      </c>
      <c r="R463" s="47">
        <v>57.5</v>
      </c>
      <c r="S463" s="47">
        <v>1.41</v>
      </c>
      <c r="T463" s="47">
        <v>17.2</v>
      </c>
      <c r="U463" s="47">
        <v>7.61</v>
      </c>
      <c r="V463" s="47"/>
      <c r="W463" s="47">
        <v>0.12</v>
      </c>
      <c r="X463" s="47">
        <v>0.98</v>
      </c>
      <c r="Y463" s="47">
        <v>4.95</v>
      </c>
      <c r="Z463" s="47">
        <v>2.91</v>
      </c>
      <c r="AA463" s="47">
        <v>0.48</v>
      </c>
      <c r="AB463" s="47">
        <v>0.09</v>
      </c>
      <c r="AC463" s="9">
        <v>6</v>
      </c>
      <c r="AD463" s="23">
        <f t="shared" si="346"/>
        <v>99.250000000000014</v>
      </c>
      <c r="AE463" s="21">
        <f t="shared" si="347"/>
        <v>6.8413900000000005</v>
      </c>
      <c r="AF463" s="23">
        <f t="shared" si="348"/>
        <v>0.20342109452439233</v>
      </c>
      <c r="AH463" s="16">
        <f t="shared" si="349"/>
        <v>61.662198391420901</v>
      </c>
      <c r="AI463" s="16">
        <f t="shared" si="350"/>
        <v>1.5120643431635385</v>
      </c>
      <c r="AJ463" s="16">
        <f t="shared" si="351"/>
        <v>18.44504021447721</v>
      </c>
      <c r="AK463" s="16">
        <f t="shared" si="352"/>
        <v>8.1608579088471842</v>
      </c>
      <c r="AL463" s="16">
        <f t="shared" si="353"/>
        <v>0</v>
      </c>
      <c r="AM463" s="16">
        <f t="shared" si="354"/>
        <v>0.12868632707774796</v>
      </c>
      <c r="AN463" s="16">
        <f t="shared" si="355"/>
        <v>1.0509383378016084</v>
      </c>
      <c r="AO463" s="16">
        <f t="shared" si="356"/>
        <v>5.3083109919571037</v>
      </c>
      <c r="AP463" s="16">
        <f t="shared" si="357"/>
        <v>3.1206434316353882</v>
      </c>
      <c r="AQ463" s="16">
        <f t="shared" si="358"/>
        <v>0.51474530831099186</v>
      </c>
      <c r="AR463" s="16">
        <f t="shared" si="359"/>
        <v>9.6514745308310973E-2</v>
      </c>
      <c r="AS463" s="16">
        <f t="shared" si="360"/>
        <v>99.999999999999986</v>
      </c>
      <c r="AT463" s="16">
        <f t="shared" si="361"/>
        <v>7.3366112600536191</v>
      </c>
      <c r="AY463" s="46"/>
      <c r="AZ463" s="41"/>
      <c r="BA463" s="48"/>
      <c r="BB463" s="41"/>
      <c r="BC463" s="48"/>
      <c r="BD463" s="41"/>
      <c r="BE463" s="48"/>
      <c r="BF463" s="41"/>
      <c r="BG463" s="48"/>
      <c r="BH463" s="41"/>
      <c r="BI463" s="48"/>
      <c r="BJ463" s="41"/>
      <c r="BK463" s="48"/>
      <c r="BL463" s="41"/>
      <c r="BM463" s="41"/>
      <c r="BN463" s="41"/>
      <c r="BO463" s="48"/>
      <c r="BP463" s="41"/>
      <c r="BQ463" s="48"/>
      <c r="BR463" s="46"/>
      <c r="BS463" s="48"/>
      <c r="BT463" s="41"/>
      <c r="BU463" s="48"/>
      <c r="BV463" s="41"/>
      <c r="BW463" s="48"/>
      <c r="CA463" s="46">
        <v>154.94</v>
      </c>
      <c r="CB463" s="46"/>
      <c r="CC463" s="46">
        <v>63.68</v>
      </c>
      <c r="CD463" s="46"/>
      <c r="CE463" s="46">
        <v>27.82</v>
      </c>
      <c r="CF463" s="46">
        <v>5.18</v>
      </c>
      <c r="CG463" s="46">
        <v>1.49</v>
      </c>
      <c r="CH463" s="46">
        <v>3.36</v>
      </c>
      <c r="CI463" s="46">
        <v>0.57999999999999996</v>
      </c>
      <c r="CJ463" s="46"/>
      <c r="CK463" s="46"/>
      <c r="CL463" s="46"/>
      <c r="CM463" s="46"/>
      <c r="CN463" s="46">
        <v>2.8</v>
      </c>
      <c r="CO463" s="46">
        <v>0.36</v>
      </c>
      <c r="CP463" s="46">
        <v>7.71</v>
      </c>
      <c r="CQ463" s="46">
        <v>1.45</v>
      </c>
      <c r="CR463" s="46"/>
      <c r="CS463" s="46">
        <v>14.45</v>
      </c>
      <c r="CT463" s="46"/>
    </row>
    <row r="464" spans="1:98">
      <c r="A464" s="1" t="s">
        <v>289</v>
      </c>
      <c r="B464" s="4" t="s">
        <v>290</v>
      </c>
      <c r="C464" s="50" t="s">
        <v>437</v>
      </c>
      <c r="D464" s="63">
        <v>67.22</v>
      </c>
      <c r="E464" s="63">
        <v>2.93</v>
      </c>
      <c r="F464" s="1" t="s">
        <v>309</v>
      </c>
      <c r="G464" s="46" t="s">
        <v>306</v>
      </c>
      <c r="J464" s="38" t="s">
        <v>256</v>
      </c>
      <c r="L464" s="1" t="s">
        <v>514</v>
      </c>
      <c r="M464" s="78" t="s">
        <v>868</v>
      </c>
      <c r="N464" s="78"/>
      <c r="Q464" s="1" t="s">
        <v>312</v>
      </c>
      <c r="R464" s="47">
        <v>61.1</v>
      </c>
      <c r="S464" s="47">
        <v>1.17</v>
      </c>
      <c r="T464" s="47">
        <v>14.61</v>
      </c>
      <c r="U464" s="47">
        <v>3.22</v>
      </c>
      <c r="V464" s="47">
        <v>5.79</v>
      </c>
      <c r="W464" s="47">
        <v>0.13</v>
      </c>
      <c r="X464" s="47">
        <v>1.59</v>
      </c>
      <c r="Y464" s="47">
        <v>3.02</v>
      </c>
      <c r="Z464" s="47">
        <v>2.21</v>
      </c>
      <c r="AA464" s="47">
        <v>1.75</v>
      </c>
      <c r="AB464" s="47">
        <v>0.2</v>
      </c>
      <c r="AD464" s="23">
        <f t="shared" si="346"/>
        <v>94.789999999999992</v>
      </c>
      <c r="AE464" s="21">
        <f t="shared" si="347"/>
        <v>8.6847799999999999</v>
      </c>
      <c r="AF464" s="23">
        <f t="shared" si="348"/>
        <v>0.24606834106388545</v>
      </c>
      <c r="AH464" s="16">
        <f t="shared" si="349"/>
        <v>64.458276189471462</v>
      </c>
      <c r="AI464" s="16">
        <f t="shared" si="350"/>
        <v>1.2343074163941345</v>
      </c>
      <c r="AJ464" s="16">
        <f t="shared" si="351"/>
        <v>15.413018250870346</v>
      </c>
      <c r="AK464" s="16">
        <f t="shared" si="352"/>
        <v>3.396982804093259</v>
      </c>
      <c r="AL464" s="16">
        <f t="shared" si="353"/>
        <v>6.1082392657453326</v>
      </c>
      <c r="AM464" s="16">
        <f t="shared" si="354"/>
        <v>0.13714526848823716</v>
      </c>
      <c r="AN464" s="16">
        <f t="shared" si="355"/>
        <v>1.6773921299715162</v>
      </c>
      <c r="AO464" s="16">
        <f t="shared" si="356"/>
        <v>3.1859900833421251</v>
      </c>
      <c r="AP464" s="16">
        <f t="shared" si="357"/>
        <v>2.3314695643000318</v>
      </c>
      <c r="AQ464" s="16">
        <f t="shared" si="358"/>
        <v>1.8461863065724233</v>
      </c>
      <c r="AR464" s="16">
        <f t="shared" si="359"/>
        <v>0.21099272075113409</v>
      </c>
      <c r="AS464" s="16">
        <f t="shared" si="360"/>
        <v>100.00000000000001</v>
      </c>
      <c r="AT464" s="16">
        <f t="shared" si="361"/>
        <v>9.1621268066251726</v>
      </c>
      <c r="AY464" s="46"/>
      <c r="AZ464" s="41"/>
      <c r="BA464" s="48">
        <v>137</v>
      </c>
      <c r="BB464" s="41"/>
      <c r="BC464" s="48">
        <v>58</v>
      </c>
      <c r="BD464" s="41"/>
      <c r="BE464" s="48">
        <v>7</v>
      </c>
      <c r="BF464" s="41"/>
      <c r="BG464" s="48">
        <v>14</v>
      </c>
      <c r="BH464" s="41"/>
      <c r="BI464" s="48">
        <v>8</v>
      </c>
      <c r="BJ464" s="41"/>
      <c r="BK464" s="48">
        <v>126</v>
      </c>
      <c r="BL464" s="41"/>
      <c r="BM464" s="41"/>
      <c r="BN464" s="41"/>
      <c r="BO464" s="48">
        <v>87</v>
      </c>
      <c r="BP464" s="41"/>
      <c r="BQ464" s="48">
        <v>148</v>
      </c>
      <c r="BR464" s="46"/>
      <c r="BS464" s="48">
        <v>48</v>
      </c>
      <c r="BT464" s="41"/>
      <c r="BU464" s="48">
        <v>251</v>
      </c>
      <c r="BV464" s="41"/>
      <c r="BW464" s="48">
        <v>16</v>
      </c>
      <c r="CA464" s="46">
        <v>407</v>
      </c>
      <c r="CB464" s="46"/>
      <c r="CC464" s="46"/>
      <c r="CD464" s="46"/>
      <c r="CE464" s="46"/>
      <c r="CF464" s="46"/>
      <c r="CG464" s="46"/>
      <c r="CH464" s="46"/>
      <c r="CI464" s="46"/>
      <c r="CJ464" s="46"/>
      <c r="CK464" s="46"/>
      <c r="CL464" s="46"/>
      <c r="CM464" s="46"/>
      <c r="CN464" s="46"/>
      <c r="CO464" s="46"/>
      <c r="CP464" s="46"/>
      <c r="CQ464" s="46"/>
      <c r="CR464" s="46"/>
      <c r="CS464" s="46"/>
      <c r="CT464" s="46"/>
    </row>
    <row r="465" spans="1:98">
      <c r="A465" s="1" t="s">
        <v>289</v>
      </c>
      <c r="B465" s="4" t="s">
        <v>290</v>
      </c>
      <c r="C465" s="50" t="s">
        <v>451</v>
      </c>
      <c r="D465" s="63">
        <v>67.22</v>
      </c>
      <c r="E465" s="63">
        <v>2.93</v>
      </c>
      <c r="F465" s="1" t="s">
        <v>309</v>
      </c>
      <c r="G465" s="46" t="s">
        <v>306</v>
      </c>
      <c r="J465" s="38" t="s">
        <v>256</v>
      </c>
      <c r="L465" s="1" t="s">
        <v>514</v>
      </c>
      <c r="M465" s="78" t="s">
        <v>868</v>
      </c>
      <c r="N465" s="78"/>
      <c r="Q465" s="1" t="s">
        <v>312</v>
      </c>
      <c r="R465" s="47">
        <v>59.03</v>
      </c>
      <c r="S465" s="47">
        <v>1.26</v>
      </c>
      <c r="T465" s="47">
        <v>14.58</v>
      </c>
      <c r="U465" s="47">
        <v>10.43</v>
      </c>
      <c r="V465" s="47"/>
      <c r="W465" s="47">
        <v>0.11</v>
      </c>
      <c r="X465" s="47">
        <v>1.75</v>
      </c>
      <c r="Y465" s="47">
        <v>2.9</v>
      </c>
      <c r="Z465" s="47">
        <v>2.08</v>
      </c>
      <c r="AA465" s="47">
        <v>1.29</v>
      </c>
      <c r="AB465" s="47">
        <v>0.18</v>
      </c>
      <c r="AC465" s="9">
        <v>6.15</v>
      </c>
      <c r="AD465" s="23">
        <f t="shared" si="346"/>
        <v>99.760000000000034</v>
      </c>
      <c r="AE465" s="21">
        <f t="shared" si="347"/>
        <v>9.3765699999999992</v>
      </c>
      <c r="AF465" s="23">
        <f t="shared" si="348"/>
        <v>0.2496550996936433</v>
      </c>
      <c r="AH465" s="16">
        <f t="shared" si="349"/>
        <v>63.059502189936957</v>
      </c>
      <c r="AI465" s="16">
        <f t="shared" si="350"/>
        <v>1.3460100416622152</v>
      </c>
      <c r="AJ465" s="16">
        <f t="shared" si="351"/>
        <v>15.575259053519918</v>
      </c>
      <c r="AK465" s="16">
        <f t="shared" si="352"/>
        <v>11.141972011537225</v>
      </c>
      <c r="AL465" s="16">
        <f t="shared" si="353"/>
        <v>0</v>
      </c>
      <c r="AM465" s="16">
        <f t="shared" si="354"/>
        <v>0.11750881316098703</v>
      </c>
      <c r="AN465" s="16">
        <f t="shared" si="355"/>
        <v>1.8694583911975211</v>
      </c>
      <c r="AO465" s="16">
        <f t="shared" si="356"/>
        <v>3.0979596196987491</v>
      </c>
      <c r="AP465" s="16">
        <f t="shared" si="357"/>
        <v>2.2219848306804821</v>
      </c>
      <c r="AQ465" s="16">
        <f t="shared" si="358"/>
        <v>1.3780578997970299</v>
      </c>
      <c r="AR465" s="16">
        <f t="shared" si="359"/>
        <v>0.19228714880888789</v>
      </c>
      <c r="AS465" s="16">
        <f t="shared" si="360"/>
        <v>99.999999999999972</v>
      </c>
      <c r="AT465" s="16">
        <f t="shared" si="361"/>
        <v>10.016632838371965</v>
      </c>
      <c r="AY465" s="46">
        <v>30</v>
      </c>
      <c r="AZ465" s="41"/>
      <c r="BA465" s="48">
        <v>139</v>
      </c>
      <c r="BB465" s="41"/>
      <c r="BC465" s="48">
        <v>136</v>
      </c>
      <c r="BD465" s="41"/>
      <c r="BE465" s="48">
        <v>21</v>
      </c>
      <c r="BF465" s="41"/>
      <c r="BG465" s="48">
        <v>13</v>
      </c>
      <c r="BH465" s="41"/>
      <c r="BI465" s="48">
        <v>12</v>
      </c>
      <c r="BJ465" s="41"/>
      <c r="BK465" s="48">
        <v>123</v>
      </c>
      <c r="BL465" s="41"/>
      <c r="BM465" s="41"/>
      <c r="BN465" s="41"/>
      <c r="BO465" s="48">
        <v>71</v>
      </c>
      <c r="BP465" s="41"/>
      <c r="BQ465" s="48">
        <v>132</v>
      </c>
      <c r="BR465" s="46"/>
      <c r="BS465" s="48">
        <v>51</v>
      </c>
      <c r="BT465" s="41"/>
      <c r="BU465" s="48">
        <v>258</v>
      </c>
      <c r="BV465" s="41"/>
      <c r="BW465" s="48">
        <v>19</v>
      </c>
      <c r="CA465" s="46">
        <v>390</v>
      </c>
      <c r="CB465" s="46"/>
      <c r="CC465" s="46"/>
      <c r="CD465" s="46"/>
      <c r="CE465" s="46"/>
      <c r="CF465" s="46"/>
      <c r="CG465" s="46"/>
      <c r="CH465" s="46"/>
      <c r="CI465" s="46"/>
      <c r="CJ465" s="46"/>
      <c r="CK465" s="46"/>
      <c r="CL465" s="46"/>
      <c r="CM465" s="46"/>
      <c r="CN465" s="46"/>
      <c r="CO465" s="46"/>
      <c r="CP465" s="46"/>
      <c r="CQ465" s="46"/>
      <c r="CR465" s="46">
        <v>21</v>
      </c>
      <c r="CS465" s="46"/>
      <c r="CT465" s="46"/>
    </row>
    <row r="466" spans="1:98">
      <c r="A466" s="1" t="s">
        <v>289</v>
      </c>
      <c r="B466" s="4" t="s">
        <v>290</v>
      </c>
      <c r="C466" s="50" t="s">
        <v>455</v>
      </c>
      <c r="D466" s="63">
        <v>67.22</v>
      </c>
      <c r="E466" s="63">
        <v>2.93</v>
      </c>
      <c r="F466" s="1" t="s">
        <v>309</v>
      </c>
      <c r="G466" s="46" t="s">
        <v>306</v>
      </c>
      <c r="J466" s="38" t="s">
        <v>256</v>
      </c>
      <c r="L466" s="1" t="s">
        <v>514</v>
      </c>
      <c r="M466" s="78" t="s">
        <v>868</v>
      </c>
      <c r="N466" s="78"/>
      <c r="Q466" s="1" t="s">
        <v>312</v>
      </c>
      <c r="R466" s="47">
        <v>58.3</v>
      </c>
      <c r="S466" s="47">
        <v>1.28</v>
      </c>
      <c r="T466" s="47">
        <v>15.3</v>
      </c>
      <c r="U466" s="47">
        <v>9.98</v>
      </c>
      <c r="V466" s="47"/>
      <c r="W466" s="47">
        <v>0.21</v>
      </c>
      <c r="X466" s="47">
        <v>1.47</v>
      </c>
      <c r="Y466" s="47">
        <v>2.59</v>
      </c>
      <c r="Z466" s="47">
        <v>2.13</v>
      </c>
      <c r="AA466" s="47">
        <v>1.47</v>
      </c>
      <c r="AB466" s="47">
        <v>0.13</v>
      </c>
      <c r="AC466" s="9">
        <v>7.54</v>
      </c>
      <c r="AD466" s="23">
        <f t="shared" si="346"/>
        <v>100.39999999999999</v>
      </c>
      <c r="AE466" s="21">
        <f t="shared" si="347"/>
        <v>8.9720200000000006</v>
      </c>
      <c r="AF466" s="23">
        <f t="shared" si="348"/>
        <v>0.22605844082291965</v>
      </c>
      <c r="AH466" s="16">
        <f t="shared" si="349"/>
        <v>62.782683609735095</v>
      </c>
      <c r="AI466" s="16">
        <f t="shared" si="350"/>
        <v>1.3784191255653675</v>
      </c>
      <c r="AJ466" s="16">
        <f t="shared" si="351"/>
        <v>16.476416110273533</v>
      </c>
      <c r="AK466" s="16">
        <f t="shared" si="352"/>
        <v>10.747361619642474</v>
      </c>
      <c r="AL466" s="16">
        <f t="shared" si="353"/>
        <v>0</v>
      </c>
      <c r="AM466" s="16">
        <f t="shared" si="354"/>
        <v>0.2261468877880681</v>
      </c>
      <c r="AN466" s="16">
        <f t="shared" si="355"/>
        <v>1.5830282145164767</v>
      </c>
      <c r="AO466" s="16">
        <f t="shared" si="356"/>
        <v>2.7891449493861731</v>
      </c>
      <c r="AP466" s="16">
        <f t="shared" si="357"/>
        <v>2.2937755761361194</v>
      </c>
      <c r="AQ466" s="16">
        <f t="shared" si="358"/>
        <v>1.5830282145164767</v>
      </c>
      <c r="AR466" s="16">
        <f t="shared" si="359"/>
        <v>0.13999569244023263</v>
      </c>
      <c r="AS466" s="16">
        <f t="shared" si="360"/>
        <v>100</v>
      </c>
      <c r="AT466" s="16">
        <f t="shared" si="361"/>
        <v>9.6618780960585848</v>
      </c>
      <c r="AY466" s="46"/>
      <c r="AZ466" s="41"/>
      <c r="BA466" s="48"/>
      <c r="BB466" s="41"/>
      <c r="BC466" s="48"/>
      <c r="BD466" s="41"/>
      <c r="BE466" s="48"/>
      <c r="BF466" s="41"/>
      <c r="BG466" s="48"/>
      <c r="BH466" s="41"/>
      <c r="BI466" s="48"/>
      <c r="BJ466" s="41"/>
      <c r="BK466" s="48"/>
      <c r="BL466" s="41"/>
      <c r="BM466" s="41"/>
      <c r="BN466" s="41"/>
      <c r="BO466" s="48"/>
      <c r="BP466" s="41"/>
      <c r="BQ466" s="48"/>
      <c r="BR466" s="46"/>
      <c r="BS466" s="48"/>
      <c r="BT466" s="41"/>
      <c r="BU466" s="48"/>
      <c r="BV466" s="41"/>
      <c r="BW466" s="48"/>
      <c r="CA466" s="46"/>
      <c r="CB466" s="46"/>
      <c r="CC466" s="46">
        <v>61.11</v>
      </c>
      <c r="CD466" s="46"/>
      <c r="CE466" s="46">
        <v>26.74</v>
      </c>
      <c r="CF466" s="46">
        <v>6.11</v>
      </c>
      <c r="CG466" s="46">
        <v>0.87</v>
      </c>
      <c r="CH466" s="46"/>
      <c r="CI466" s="46">
        <v>0.78</v>
      </c>
      <c r="CJ466" s="46"/>
      <c r="CK466" s="46"/>
      <c r="CL466" s="46"/>
      <c r="CM466" s="46"/>
      <c r="CN466" s="46">
        <v>3.3</v>
      </c>
      <c r="CO466" s="46">
        <v>0.46</v>
      </c>
      <c r="CP466" s="46">
        <v>7.43</v>
      </c>
      <c r="CQ466" s="46">
        <v>1.42</v>
      </c>
      <c r="CR466" s="46"/>
      <c r="CS466" s="46">
        <v>13.35</v>
      </c>
      <c r="CT466" s="46"/>
    </row>
    <row r="467" spans="1:98">
      <c r="A467" s="1" t="s">
        <v>289</v>
      </c>
      <c r="B467" s="4" t="s">
        <v>290</v>
      </c>
      <c r="C467" s="40" t="s">
        <v>715</v>
      </c>
      <c r="D467" s="63">
        <v>67.22</v>
      </c>
      <c r="E467" s="63">
        <v>2.93</v>
      </c>
      <c r="F467" s="1" t="s">
        <v>309</v>
      </c>
      <c r="G467" s="4" t="s">
        <v>93</v>
      </c>
      <c r="H467" s="4"/>
      <c r="J467" s="40" t="s">
        <v>256</v>
      </c>
      <c r="K467" s="40"/>
      <c r="L467" s="4" t="s">
        <v>423</v>
      </c>
      <c r="M467" s="78" t="s">
        <v>867</v>
      </c>
      <c r="N467" s="78"/>
      <c r="O467" s="4"/>
      <c r="P467" s="4"/>
      <c r="Q467" s="4"/>
      <c r="AD467" s="23"/>
      <c r="AE467" s="23"/>
      <c r="AF467" s="23"/>
      <c r="AG467" s="45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45"/>
      <c r="AV467" s="4"/>
      <c r="AY467" s="39">
        <v>26.68</v>
      </c>
      <c r="BR467" s="39">
        <v>48.27</v>
      </c>
      <c r="BS467" s="39"/>
      <c r="BT467" s="39">
        <v>298.48</v>
      </c>
      <c r="BV467" s="39">
        <v>22.35</v>
      </c>
      <c r="BW467" s="39"/>
      <c r="CA467" s="39">
        <v>408.68</v>
      </c>
      <c r="CB467" s="39">
        <v>41.07</v>
      </c>
      <c r="CC467" s="39">
        <v>89.1</v>
      </c>
      <c r="CD467" s="39">
        <v>9.6199999999999992</v>
      </c>
      <c r="CE467" s="39">
        <v>38.67</v>
      </c>
      <c r="CF467" s="39">
        <v>8.1999999999999993</v>
      </c>
      <c r="CG467" s="39">
        <v>1.29</v>
      </c>
      <c r="CH467" s="39">
        <v>8.19</v>
      </c>
      <c r="CI467" s="39">
        <v>1.36</v>
      </c>
      <c r="CJ467" s="39">
        <v>8.3800000000000008</v>
      </c>
      <c r="CK467" s="39">
        <v>1.75</v>
      </c>
      <c r="CL467" s="39">
        <v>5.0599999999999996</v>
      </c>
      <c r="CM467" s="39">
        <v>0.81</v>
      </c>
      <c r="CN467" s="39">
        <v>4.9000000000000004</v>
      </c>
      <c r="CO467" s="39">
        <v>0.76</v>
      </c>
      <c r="CP467" s="39">
        <v>7.87</v>
      </c>
      <c r="CQ467" s="39">
        <v>1.65</v>
      </c>
      <c r="CR467" s="39">
        <v>24.53</v>
      </c>
      <c r="CS467" s="39">
        <v>14.02</v>
      </c>
      <c r="CT467" s="39">
        <v>2.97</v>
      </c>
    </row>
    <row r="468" spans="1:98">
      <c r="A468" s="1" t="s">
        <v>289</v>
      </c>
      <c r="B468" s="4" t="s">
        <v>290</v>
      </c>
      <c r="C468" s="38" t="s">
        <v>92</v>
      </c>
      <c r="D468" s="63">
        <v>67.22</v>
      </c>
      <c r="E468" s="63">
        <v>2.93</v>
      </c>
      <c r="F468" s="1" t="s">
        <v>309</v>
      </c>
      <c r="G468" s="38" t="s">
        <v>93</v>
      </c>
      <c r="H468" s="38"/>
      <c r="I468" s="39"/>
      <c r="J468" s="38" t="s">
        <v>256</v>
      </c>
      <c r="K468" s="37"/>
      <c r="L468" s="4" t="s">
        <v>423</v>
      </c>
      <c r="M468" s="78" t="s">
        <v>867</v>
      </c>
      <c r="N468" s="78"/>
      <c r="O468" s="16" t="s">
        <v>82</v>
      </c>
      <c r="P468" s="12"/>
      <c r="Q468" s="16"/>
      <c r="R468" s="25"/>
      <c r="S468" s="25"/>
      <c r="T468" s="25"/>
      <c r="U468" s="25"/>
      <c r="V468" s="26"/>
      <c r="W468" s="25"/>
      <c r="X468" s="25"/>
      <c r="Y468" s="25"/>
      <c r="Z468" s="25"/>
      <c r="AA468" s="25"/>
      <c r="AB468" s="25"/>
      <c r="AC468" s="15"/>
      <c r="AD468" s="23"/>
      <c r="AE468" s="23"/>
      <c r="AF468" s="23"/>
      <c r="AG468" s="45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45"/>
      <c r="AV468" s="16"/>
      <c r="AW468" s="15"/>
      <c r="AX468" s="15"/>
      <c r="AY468" s="39">
        <v>27.06</v>
      </c>
      <c r="AZ468" s="39">
        <v>122.87</v>
      </c>
      <c r="BA468" s="39"/>
      <c r="BB468" s="15"/>
      <c r="BC468" s="15"/>
      <c r="BD468" s="39">
        <v>10.17</v>
      </c>
      <c r="BE468" s="39"/>
      <c r="BF468" s="15"/>
      <c r="BG468" s="39" t="s">
        <v>89</v>
      </c>
      <c r="BH468" s="39">
        <v>7.03</v>
      </c>
      <c r="BI468" s="39"/>
      <c r="BJ468" s="39">
        <v>89.81</v>
      </c>
      <c r="BK468" s="39"/>
      <c r="BL468" s="39">
        <v>8.8000000000000007</v>
      </c>
      <c r="BM468" s="39"/>
      <c r="BN468" s="15"/>
      <c r="BO468" s="15"/>
      <c r="BP468" s="15"/>
      <c r="BQ468" s="39">
        <v>130.65</v>
      </c>
      <c r="BR468" s="39">
        <v>64.900000000000006</v>
      </c>
      <c r="BS468" s="15"/>
      <c r="BT468" s="39">
        <v>275.47000000000003</v>
      </c>
      <c r="BV468" s="39">
        <v>21.46</v>
      </c>
      <c r="BW468" s="39"/>
      <c r="BX468" s="15"/>
      <c r="BY468" s="15"/>
      <c r="BZ468" s="39">
        <v>6.13</v>
      </c>
      <c r="CA468" s="39">
        <v>353.49</v>
      </c>
      <c r="CB468" s="39">
        <v>41.99</v>
      </c>
      <c r="CC468" s="39">
        <v>101.62</v>
      </c>
      <c r="CD468" s="39">
        <v>10.210000000000001</v>
      </c>
      <c r="CE468" s="39">
        <v>45.77</v>
      </c>
      <c r="CF468" s="39">
        <v>8.39</v>
      </c>
      <c r="CG468" s="39">
        <v>1.24</v>
      </c>
      <c r="CH468" s="39">
        <v>8.18</v>
      </c>
      <c r="CI468" s="39">
        <v>1.42</v>
      </c>
      <c r="CJ468" s="39">
        <v>8.65</v>
      </c>
      <c r="CK468" s="39">
        <v>1.9</v>
      </c>
      <c r="CL468" s="39">
        <v>5.49</v>
      </c>
      <c r="CM468" s="39">
        <v>1</v>
      </c>
      <c r="CN468" s="39">
        <v>5.28</v>
      </c>
      <c r="CO468" s="39">
        <v>0.84</v>
      </c>
      <c r="CP468" s="39">
        <v>6.48</v>
      </c>
      <c r="CQ468" s="39">
        <v>1.18</v>
      </c>
      <c r="CR468" s="39">
        <v>15.48</v>
      </c>
      <c r="CS468" s="39">
        <v>11.42</v>
      </c>
      <c r="CT468" s="39">
        <v>2.34</v>
      </c>
    </row>
    <row r="469" spans="1:98">
      <c r="A469" s="1" t="s">
        <v>289</v>
      </c>
      <c r="B469" s="4" t="s">
        <v>290</v>
      </c>
      <c r="C469" s="40" t="s">
        <v>92</v>
      </c>
      <c r="D469" s="63">
        <v>67.22</v>
      </c>
      <c r="E469" s="63">
        <v>2.93</v>
      </c>
      <c r="F469" s="1" t="s">
        <v>309</v>
      </c>
      <c r="G469" s="4" t="s">
        <v>93</v>
      </c>
      <c r="H469" s="4"/>
      <c r="J469" s="40" t="s">
        <v>256</v>
      </c>
      <c r="K469" s="40"/>
      <c r="L469" s="4" t="s">
        <v>423</v>
      </c>
      <c r="M469" s="78" t="s">
        <v>867</v>
      </c>
      <c r="N469" s="78"/>
      <c r="O469" s="40"/>
      <c r="P469" s="4"/>
      <c r="Q469" s="4"/>
      <c r="R469" s="4">
        <v>62.79</v>
      </c>
      <c r="S469" s="4">
        <v>1.3</v>
      </c>
      <c r="T469" s="4">
        <v>15.52</v>
      </c>
      <c r="U469" s="4">
        <v>11.27</v>
      </c>
      <c r="W469" s="4">
        <v>0.14000000000000001</v>
      </c>
      <c r="X469" s="4">
        <v>1.54</v>
      </c>
      <c r="Y469" s="4">
        <v>3.22</v>
      </c>
      <c r="Z469" s="4">
        <v>2.4</v>
      </c>
      <c r="AA469" s="4">
        <v>1.57</v>
      </c>
      <c r="AB469" s="4">
        <v>0.25</v>
      </c>
      <c r="AD469" s="23">
        <f>SUM(R469:AB469)+AC469</f>
        <v>100</v>
      </c>
      <c r="AE469" s="21">
        <f>V469+0.899*U469</f>
        <v>10.131729999999999</v>
      </c>
      <c r="AF469" s="23">
        <f>(X469/40.3)/((X469/40.3)+(AE469/71.844))</f>
        <v>0.21319989262363753</v>
      </c>
      <c r="AG469" s="45"/>
      <c r="AH469" s="16">
        <f t="shared" ref="AH469:AR471" si="362">100*R469/SUM($R469:$AB469)</f>
        <v>62.79</v>
      </c>
      <c r="AI469" s="16">
        <f t="shared" si="362"/>
        <v>1.3</v>
      </c>
      <c r="AJ469" s="16">
        <f t="shared" si="362"/>
        <v>15.52</v>
      </c>
      <c r="AK469" s="16">
        <f t="shared" si="362"/>
        <v>11.27</v>
      </c>
      <c r="AL469" s="16">
        <f t="shared" si="362"/>
        <v>0</v>
      </c>
      <c r="AM469" s="16">
        <f t="shared" si="362"/>
        <v>0.14000000000000001</v>
      </c>
      <c r="AN469" s="16">
        <f t="shared" si="362"/>
        <v>1.54</v>
      </c>
      <c r="AO469" s="16">
        <f t="shared" si="362"/>
        <v>3.22</v>
      </c>
      <c r="AP469" s="16">
        <f t="shared" si="362"/>
        <v>2.4</v>
      </c>
      <c r="AQ469" s="16">
        <f t="shared" si="362"/>
        <v>1.57</v>
      </c>
      <c r="AR469" s="16">
        <f t="shared" si="362"/>
        <v>0.25</v>
      </c>
      <c r="AS469" s="16">
        <f>SUM(AH469:AR469)</f>
        <v>100</v>
      </c>
      <c r="AT469" s="16">
        <f>AL469+0.899*AK469</f>
        <v>10.131729999999999</v>
      </c>
      <c r="AU469" s="45"/>
      <c r="AV469" s="4"/>
      <c r="AY469" s="39">
        <v>32.26</v>
      </c>
      <c r="BR469" s="39">
        <v>66.48</v>
      </c>
      <c r="BS469" s="39"/>
      <c r="BT469" s="39">
        <v>392.66</v>
      </c>
      <c r="BV469" s="39">
        <v>23.99</v>
      </c>
      <c r="BW469" s="39"/>
      <c r="CA469" s="39">
        <v>357.53</v>
      </c>
      <c r="CB469" s="39">
        <v>41.66</v>
      </c>
      <c r="CC469" s="39">
        <v>99.59</v>
      </c>
      <c r="CD469" s="39">
        <v>10.63</v>
      </c>
      <c r="CE469" s="39">
        <v>42.96</v>
      </c>
      <c r="CF469" s="39">
        <v>9.19</v>
      </c>
      <c r="CG469" s="39">
        <v>1.43</v>
      </c>
      <c r="CH469" s="39">
        <v>10.25</v>
      </c>
      <c r="CI469" s="39">
        <v>1.63</v>
      </c>
      <c r="CJ469" s="39">
        <v>10.08</v>
      </c>
      <c r="CK469" s="39">
        <v>2.15</v>
      </c>
      <c r="CL469" s="39">
        <v>6.28</v>
      </c>
      <c r="CM469" s="39">
        <v>1.01</v>
      </c>
      <c r="CN469" s="39">
        <v>6.09</v>
      </c>
      <c r="CO469" s="39">
        <v>0.96</v>
      </c>
      <c r="CP469" s="39">
        <v>8.92</v>
      </c>
      <c r="CQ469" s="39">
        <v>1.35</v>
      </c>
      <c r="CR469" s="39">
        <v>24.36</v>
      </c>
      <c r="CS469" s="39">
        <v>14.07</v>
      </c>
      <c r="CT469" s="39">
        <v>2.72</v>
      </c>
    </row>
    <row r="470" spans="1:98">
      <c r="A470" s="1" t="s">
        <v>289</v>
      </c>
      <c r="B470" s="4" t="s">
        <v>290</v>
      </c>
      <c r="C470" s="50" t="s">
        <v>447</v>
      </c>
      <c r="D470" s="63">
        <v>67.22</v>
      </c>
      <c r="E470" s="63">
        <v>2.93</v>
      </c>
      <c r="F470" s="1" t="s">
        <v>309</v>
      </c>
      <c r="G470" s="46" t="s">
        <v>463</v>
      </c>
      <c r="J470" s="38" t="s">
        <v>256</v>
      </c>
      <c r="L470" s="1" t="s">
        <v>514</v>
      </c>
      <c r="M470" s="78" t="s">
        <v>868</v>
      </c>
      <c r="N470" s="78"/>
      <c r="Q470" s="1" t="s">
        <v>312</v>
      </c>
      <c r="R470" s="47">
        <v>61.03</v>
      </c>
      <c r="S470" s="47">
        <v>1.21</v>
      </c>
      <c r="T470" s="47">
        <v>14.49</v>
      </c>
      <c r="U470" s="47">
        <v>9.1300000000000008</v>
      </c>
      <c r="V470" s="47"/>
      <c r="W470" s="47">
        <v>0.13</v>
      </c>
      <c r="X470" s="47">
        <v>1.5</v>
      </c>
      <c r="Y470" s="47">
        <v>2.81</v>
      </c>
      <c r="Z470" s="47">
        <v>2.63</v>
      </c>
      <c r="AA470" s="47">
        <v>0.81</v>
      </c>
      <c r="AB470" s="47">
        <v>0.18</v>
      </c>
      <c r="AC470" s="9">
        <v>5.66</v>
      </c>
      <c r="AD470" s="23">
        <f>SUM(R470:AB470)+AC470</f>
        <v>99.58</v>
      </c>
      <c r="AE470" s="21">
        <f>V470+0.899*U470</f>
        <v>8.2078700000000016</v>
      </c>
      <c r="AF470" s="23">
        <f>(X470/40.3)/((X470/40.3)+(AE470/71.844))</f>
        <v>0.24573635980153843</v>
      </c>
      <c r="AH470" s="16">
        <f t="shared" si="362"/>
        <v>64.980834752981266</v>
      </c>
      <c r="AI470" s="16">
        <f t="shared" si="362"/>
        <v>1.2883304940374787</v>
      </c>
      <c r="AJ470" s="16">
        <f t="shared" si="362"/>
        <v>15.428023850085179</v>
      </c>
      <c r="AK470" s="16">
        <f t="shared" si="362"/>
        <v>9.7210391822827944</v>
      </c>
      <c r="AL470" s="16">
        <f t="shared" si="362"/>
        <v>0</v>
      </c>
      <c r="AM470" s="16">
        <f t="shared" si="362"/>
        <v>0.13841567291311754</v>
      </c>
      <c r="AN470" s="16">
        <f t="shared" si="362"/>
        <v>1.5971039182282794</v>
      </c>
      <c r="AO470" s="16">
        <f t="shared" si="362"/>
        <v>2.99190800681431</v>
      </c>
      <c r="AP470" s="16">
        <f t="shared" si="362"/>
        <v>2.8002555366269166</v>
      </c>
      <c r="AQ470" s="16">
        <f t="shared" si="362"/>
        <v>0.86243611584327085</v>
      </c>
      <c r="AR470" s="16">
        <f t="shared" si="362"/>
        <v>0.19165247018739354</v>
      </c>
      <c r="AS470" s="16">
        <f>SUM(AH470:AR470)</f>
        <v>100.00000000000001</v>
      </c>
      <c r="AT470" s="16">
        <f>AL470+0.899*AK470</f>
        <v>8.7392142248722315</v>
      </c>
      <c r="AY470" s="46">
        <v>27</v>
      </c>
      <c r="AZ470" s="41"/>
      <c r="BA470" s="48">
        <v>117</v>
      </c>
      <c r="BB470" s="41"/>
      <c r="BC470" s="48">
        <v>84</v>
      </c>
      <c r="BD470" s="41"/>
      <c r="BE470" s="48">
        <v>10</v>
      </c>
      <c r="BF470" s="41"/>
      <c r="BG470" s="48">
        <v>11</v>
      </c>
      <c r="BH470" s="41"/>
      <c r="BI470" s="48">
        <v>21</v>
      </c>
      <c r="BJ470" s="41"/>
      <c r="BK470" s="48">
        <v>112</v>
      </c>
      <c r="BL470" s="41"/>
      <c r="BM470" s="41"/>
      <c r="BN470" s="41"/>
      <c r="BO470" s="48">
        <v>83</v>
      </c>
      <c r="BP470" s="41"/>
      <c r="BQ470" s="48">
        <v>141</v>
      </c>
      <c r="BR470" s="46"/>
      <c r="BS470" s="48">
        <v>47</v>
      </c>
      <c r="BT470" s="41"/>
      <c r="BU470" s="48">
        <v>277</v>
      </c>
      <c r="BV470" s="41"/>
      <c r="BW470" s="48">
        <v>21</v>
      </c>
      <c r="CA470" s="46">
        <v>506</v>
      </c>
      <c r="CB470" s="46"/>
      <c r="CC470" s="46"/>
      <c r="CD470" s="46"/>
      <c r="CE470" s="46"/>
      <c r="CF470" s="46"/>
      <c r="CG470" s="46"/>
      <c r="CH470" s="46"/>
      <c r="CI470" s="46"/>
      <c r="CJ470" s="46"/>
      <c r="CK470" s="46"/>
      <c r="CL470" s="46"/>
      <c r="CM470" s="46"/>
      <c r="CN470" s="46"/>
      <c r="CO470" s="46"/>
      <c r="CP470" s="46"/>
      <c r="CQ470" s="46"/>
      <c r="CR470" s="46">
        <v>25</v>
      </c>
      <c r="CS470" s="46"/>
      <c r="CT470" s="46"/>
    </row>
    <row r="471" spans="1:98">
      <c r="A471" s="1" t="s">
        <v>289</v>
      </c>
      <c r="B471" s="4" t="s">
        <v>290</v>
      </c>
      <c r="C471" s="50" t="s">
        <v>439</v>
      </c>
      <c r="D471" s="63">
        <v>67.22</v>
      </c>
      <c r="E471" s="63">
        <v>2.93</v>
      </c>
      <c r="F471" s="1" t="s">
        <v>309</v>
      </c>
      <c r="G471" s="46" t="s">
        <v>304</v>
      </c>
      <c r="J471" s="38" t="s">
        <v>256</v>
      </c>
      <c r="L471" s="1" t="s">
        <v>514</v>
      </c>
      <c r="M471" s="78" t="s">
        <v>868</v>
      </c>
      <c r="N471" s="78"/>
      <c r="Q471" s="1" t="s">
        <v>312</v>
      </c>
      <c r="R471" s="47">
        <v>63.78</v>
      </c>
      <c r="S471" s="47">
        <v>1.38</v>
      </c>
      <c r="T471" s="47">
        <v>16.850000000000001</v>
      </c>
      <c r="U471" s="47">
        <v>5.79</v>
      </c>
      <c r="V471" s="47"/>
      <c r="W471" s="47">
        <v>0.06</v>
      </c>
      <c r="X471" s="47">
        <v>0.62</v>
      </c>
      <c r="Y471" s="47">
        <v>4.6399999999999997</v>
      </c>
      <c r="Z471" s="47">
        <v>2.35</v>
      </c>
      <c r="AA471" s="47">
        <v>1.38</v>
      </c>
      <c r="AB471" s="47">
        <v>0.61</v>
      </c>
      <c r="AD471" s="23">
        <f>SUM(R471:AB471)+AC471</f>
        <v>97.46</v>
      </c>
      <c r="AE471" s="21">
        <f>V471+0.899*U471</f>
        <v>5.2052100000000001</v>
      </c>
      <c r="AF471" s="23">
        <f>(X471/40.3)/((X471/40.3)+(AE471/71.844))</f>
        <v>0.1751512405510082</v>
      </c>
      <c r="AH471" s="16">
        <f t="shared" si="362"/>
        <v>65.442232710855734</v>
      </c>
      <c r="AI471" s="16">
        <f t="shared" si="362"/>
        <v>1.415965524317669</v>
      </c>
      <c r="AJ471" s="16">
        <f t="shared" si="362"/>
        <v>17.289144264313567</v>
      </c>
      <c r="AK471" s="16">
        <f t="shared" si="362"/>
        <v>5.94089883028935</v>
      </c>
      <c r="AL471" s="16">
        <f t="shared" si="362"/>
        <v>0</v>
      </c>
      <c r="AM471" s="16">
        <f t="shared" si="362"/>
        <v>6.1563718448594297E-2</v>
      </c>
      <c r="AN471" s="16">
        <f t="shared" si="362"/>
        <v>0.63615842396880773</v>
      </c>
      <c r="AO471" s="16">
        <f t="shared" si="362"/>
        <v>4.7609275600246255</v>
      </c>
      <c r="AP471" s="16">
        <f t="shared" si="362"/>
        <v>2.41124563923661</v>
      </c>
      <c r="AQ471" s="16">
        <f t="shared" si="362"/>
        <v>1.415965524317669</v>
      </c>
      <c r="AR471" s="16">
        <f t="shared" si="362"/>
        <v>0.6258978042273754</v>
      </c>
      <c r="AS471" s="16">
        <f>SUM(AH471:AR471)</f>
        <v>100.00000000000001</v>
      </c>
      <c r="AT471" s="16">
        <f>AL471+0.899*AK471</f>
        <v>5.3408680484301261</v>
      </c>
      <c r="AY471" s="46">
        <v>34</v>
      </c>
      <c r="AZ471" s="41"/>
      <c r="BA471" s="48">
        <v>154</v>
      </c>
      <c r="BB471" s="41"/>
      <c r="BC471" s="48">
        <v>177</v>
      </c>
      <c r="BD471" s="41"/>
      <c r="BE471" s="48">
        <v>29</v>
      </c>
      <c r="BF471" s="41"/>
      <c r="BG471" s="48">
        <v>17</v>
      </c>
      <c r="BH471" s="41"/>
      <c r="BI471" s="48">
        <v>11</v>
      </c>
      <c r="BJ471" s="41"/>
      <c r="BK471" s="48">
        <v>109</v>
      </c>
      <c r="BL471" s="41"/>
      <c r="BM471" s="41"/>
      <c r="BN471" s="41"/>
      <c r="BO471" s="48">
        <v>26</v>
      </c>
      <c r="BP471" s="41"/>
      <c r="BQ471" s="48">
        <v>214</v>
      </c>
      <c r="BR471" s="48"/>
      <c r="BS471" s="48">
        <v>118</v>
      </c>
      <c r="BT471" s="41"/>
      <c r="BU471" s="48">
        <v>320</v>
      </c>
      <c r="BV471" s="41"/>
      <c r="BW471" s="48">
        <v>24</v>
      </c>
      <c r="CA471" s="46">
        <v>516</v>
      </c>
      <c r="CB471" s="46"/>
      <c r="CC471" s="46"/>
      <c r="CD471" s="46"/>
      <c r="CE471" s="46"/>
      <c r="CF471" s="46"/>
      <c r="CG471" s="46"/>
      <c r="CH471" s="46"/>
      <c r="CI471" s="46"/>
      <c r="CJ471" s="46"/>
      <c r="CK471" s="46"/>
      <c r="CL471" s="46"/>
      <c r="CM471" s="46"/>
      <c r="CN471" s="46"/>
      <c r="CO471" s="46"/>
      <c r="CP471" s="46"/>
      <c r="CQ471" s="46"/>
      <c r="CR471" s="46">
        <v>27</v>
      </c>
      <c r="CS471" s="46"/>
      <c r="CT471" s="46"/>
    </row>
    <row r="472" spans="1:98">
      <c r="A472" s="1" t="s">
        <v>289</v>
      </c>
      <c r="B472" s="4" t="s">
        <v>290</v>
      </c>
      <c r="C472" s="38" t="s">
        <v>94</v>
      </c>
      <c r="D472" s="63">
        <v>67.22</v>
      </c>
      <c r="E472" s="63">
        <v>2.93</v>
      </c>
      <c r="F472" s="1" t="s">
        <v>309</v>
      </c>
      <c r="G472" s="38" t="s">
        <v>93</v>
      </c>
      <c r="H472" s="38"/>
      <c r="I472" s="39"/>
      <c r="J472" s="38" t="s">
        <v>256</v>
      </c>
      <c r="K472" s="37"/>
      <c r="L472" s="4" t="s">
        <v>423</v>
      </c>
      <c r="M472" s="78" t="s">
        <v>867</v>
      </c>
      <c r="N472" s="78"/>
      <c r="O472" s="16" t="s">
        <v>82</v>
      </c>
      <c r="P472" s="12"/>
      <c r="Q472" s="16"/>
      <c r="R472" s="25"/>
      <c r="S472" s="25"/>
      <c r="T472" s="25"/>
      <c r="U472" s="25"/>
      <c r="V472" s="26"/>
      <c r="W472" s="25"/>
      <c r="X472" s="25"/>
      <c r="Y472" s="25"/>
      <c r="Z472" s="25"/>
      <c r="AA472" s="25"/>
      <c r="AB472" s="25"/>
      <c r="AC472" s="15"/>
      <c r="AD472" s="23"/>
      <c r="AE472" s="23"/>
      <c r="AF472" s="23"/>
      <c r="AG472" s="45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45"/>
      <c r="AV472" s="16"/>
      <c r="AW472" s="15"/>
      <c r="AX472" s="15"/>
      <c r="AY472" s="39">
        <v>30.56</v>
      </c>
      <c r="AZ472" s="39">
        <v>140.47999999999999</v>
      </c>
      <c r="BA472" s="39"/>
      <c r="BB472" s="15"/>
      <c r="BC472" s="15"/>
      <c r="BD472" s="39" t="s">
        <v>89</v>
      </c>
      <c r="BE472" s="39"/>
      <c r="BF472" s="15"/>
      <c r="BG472" s="39" t="s">
        <v>89</v>
      </c>
      <c r="BH472" s="39">
        <v>9.93</v>
      </c>
      <c r="BI472" s="39"/>
      <c r="BJ472" s="39">
        <v>44.03</v>
      </c>
      <c r="BK472" s="39"/>
      <c r="BL472" s="39">
        <v>7.71</v>
      </c>
      <c r="BM472" s="39"/>
      <c r="BN472" s="15"/>
      <c r="BO472" s="15"/>
      <c r="BP472" s="15"/>
      <c r="BQ472" s="39">
        <v>175.04</v>
      </c>
      <c r="BR472" s="39">
        <v>17.989999999999998</v>
      </c>
      <c r="BS472" s="15"/>
      <c r="BT472" s="39">
        <v>332.83</v>
      </c>
      <c r="BV472" s="39">
        <v>24.05</v>
      </c>
      <c r="BW472" s="39"/>
      <c r="BX472" s="15"/>
      <c r="BY472" s="15"/>
      <c r="BZ472" s="39">
        <v>1.54</v>
      </c>
      <c r="CA472" s="39">
        <v>166.16</v>
      </c>
      <c r="CB472" s="39">
        <v>37.26</v>
      </c>
      <c r="CC472" s="39">
        <v>84.07</v>
      </c>
      <c r="CD472" s="39">
        <v>7.92</v>
      </c>
      <c r="CE472" s="39">
        <v>33.049999999999997</v>
      </c>
      <c r="CF472" s="39">
        <v>5.45</v>
      </c>
      <c r="CG472" s="39">
        <v>1.31</v>
      </c>
      <c r="CH472" s="39">
        <v>4.5</v>
      </c>
      <c r="CI472" s="39">
        <v>0.69</v>
      </c>
      <c r="CJ472" s="39">
        <v>3.7</v>
      </c>
      <c r="CK472" s="39">
        <v>0.7</v>
      </c>
      <c r="CL472" s="39">
        <v>1.86</v>
      </c>
      <c r="CM472" s="39">
        <v>0.37</v>
      </c>
      <c r="CN472" s="39">
        <v>1.99</v>
      </c>
      <c r="CO472" s="39">
        <v>0.31</v>
      </c>
      <c r="CP472" s="39">
        <v>8.0299999999999994</v>
      </c>
      <c r="CQ472" s="39">
        <v>1.94</v>
      </c>
      <c r="CR472" s="39">
        <v>32.479999999999997</v>
      </c>
      <c r="CS472" s="39">
        <v>14.52</v>
      </c>
      <c r="CT472" s="39">
        <v>2.65</v>
      </c>
    </row>
    <row r="473" spans="1:98">
      <c r="A473" s="1" t="s">
        <v>289</v>
      </c>
      <c r="B473" s="4" t="s">
        <v>290</v>
      </c>
      <c r="C473" s="40" t="s">
        <v>94</v>
      </c>
      <c r="D473" s="63">
        <v>67.22</v>
      </c>
      <c r="E473" s="63">
        <v>2.93</v>
      </c>
      <c r="F473" s="1" t="s">
        <v>309</v>
      </c>
      <c r="G473" s="4" t="s">
        <v>93</v>
      </c>
      <c r="H473" s="4"/>
      <c r="J473" s="40" t="s">
        <v>256</v>
      </c>
      <c r="K473" s="40"/>
      <c r="L473" s="4" t="s">
        <v>423</v>
      </c>
      <c r="M473" s="78" t="s">
        <v>867</v>
      </c>
      <c r="N473" s="78"/>
      <c r="O473" s="40"/>
      <c r="P473" s="4"/>
      <c r="Q473" s="4"/>
      <c r="R473" s="4">
        <v>62.23</v>
      </c>
      <c r="S473" s="4">
        <v>1.66</v>
      </c>
      <c r="T473" s="4">
        <v>20.36</v>
      </c>
      <c r="U473" s="4">
        <v>7.7</v>
      </c>
      <c r="W473" s="4">
        <v>0.04</v>
      </c>
      <c r="X473" s="4">
        <v>0.73</v>
      </c>
      <c r="Y473" s="4">
        <v>3.93</v>
      </c>
      <c r="Z473" s="4">
        <v>2.6</v>
      </c>
      <c r="AA473" s="4">
        <v>0.7</v>
      </c>
      <c r="AB473" s="4">
        <v>0.05</v>
      </c>
      <c r="AD473" s="23">
        <f t="shared" ref="AD473:AD501" si="363">SUM(R473:AB473)+AC473</f>
        <v>100.00000000000001</v>
      </c>
      <c r="AE473" s="21">
        <f t="shared" ref="AE473:AE501" si="364">V473+0.899*U473</f>
        <v>6.9222999999999999</v>
      </c>
      <c r="AF473" s="23">
        <f t="shared" ref="AF473:AF501" si="365">(X473/40.3)/((X473/40.3)+(AE473/71.844))</f>
        <v>0.15824917419954768</v>
      </c>
      <c r="AG473" s="45"/>
      <c r="AH473" s="16">
        <f t="shared" ref="AH473:AH501" si="366">100*R473/SUM($R473:$AB473)</f>
        <v>62.22999999999999</v>
      </c>
      <c r="AI473" s="16">
        <f t="shared" ref="AI473:AI501" si="367">100*S473/SUM($R473:$AB473)</f>
        <v>1.6599999999999997</v>
      </c>
      <c r="AJ473" s="16">
        <f t="shared" ref="AJ473:AJ501" si="368">100*T473/SUM($R473:$AB473)</f>
        <v>20.359999999999996</v>
      </c>
      <c r="AK473" s="16">
        <f t="shared" ref="AK473:AK501" si="369">100*U473/SUM($R473:$AB473)</f>
        <v>7.6999999999999993</v>
      </c>
      <c r="AL473" s="16">
        <f t="shared" ref="AL473:AL501" si="370">100*V473/SUM($R473:$AB473)</f>
        <v>0</v>
      </c>
      <c r="AM473" s="16">
        <f t="shared" ref="AM473:AM501" si="371">100*W473/SUM($R473:$AB473)</f>
        <v>3.9999999999999994E-2</v>
      </c>
      <c r="AN473" s="16">
        <f t="shared" ref="AN473:AN501" si="372">100*X473/SUM($R473:$AB473)</f>
        <v>0.72999999999999987</v>
      </c>
      <c r="AO473" s="16">
        <f t="shared" ref="AO473:AO501" si="373">100*Y473/SUM($R473:$AB473)</f>
        <v>3.9299999999999993</v>
      </c>
      <c r="AP473" s="16">
        <f t="shared" ref="AP473:AP501" si="374">100*Z473/SUM($R473:$AB473)</f>
        <v>2.5999999999999996</v>
      </c>
      <c r="AQ473" s="16">
        <f t="shared" ref="AQ473:AQ501" si="375">100*AA473/SUM($R473:$AB473)</f>
        <v>0.7</v>
      </c>
      <c r="AR473" s="16">
        <f t="shared" ref="AR473:AR501" si="376">100*AB473/SUM($R473:$AB473)</f>
        <v>4.9999999999999996E-2</v>
      </c>
      <c r="AS473" s="16">
        <f t="shared" ref="AS473:AS501" si="377">SUM(AH473:AR473)</f>
        <v>99.999999999999986</v>
      </c>
      <c r="AT473" s="16">
        <f t="shared" ref="AT473:AT501" si="378">AL473+0.899*AK473</f>
        <v>6.9222999999999999</v>
      </c>
      <c r="AU473" s="45"/>
      <c r="AV473" s="4"/>
      <c r="AY473" s="39">
        <v>33.42</v>
      </c>
      <c r="BR473" s="39">
        <v>18.18</v>
      </c>
      <c r="BS473" s="39"/>
      <c r="BT473" s="39">
        <v>474.68</v>
      </c>
      <c r="BV473" s="39">
        <v>27.33</v>
      </c>
      <c r="BW473" s="39"/>
      <c r="CA473" s="39">
        <v>161.41</v>
      </c>
      <c r="CB473" s="39">
        <v>35.78</v>
      </c>
      <c r="CC473" s="39">
        <v>80.099999999999994</v>
      </c>
      <c r="CD473" s="39">
        <v>8.0399999999999991</v>
      </c>
      <c r="CE473" s="39">
        <v>30.68</v>
      </c>
      <c r="CF473" s="39">
        <v>5.88</v>
      </c>
      <c r="CG473" s="39">
        <v>1.45</v>
      </c>
      <c r="CH473" s="39">
        <v>5.66</v>
      </c>
      <c r="CI473" s="39">
        <v>0.77</v>
      </c>
      <c r="CJ473" s="39">
        <v>4.26</v>
      </c>
      <c r="CK473" s="39">
        <v>0.79</v>
      </c>
      <c r="CL473" s="39">
        <v>2.14</v>
      </c>
      <c r="CM473" s="39">
        <v>0.34</v>
      </c>
      <c r="CN473" s="39">
        <v>2.27</v>
      </c>
      <c r="CO473" s="39">
        <v>0.34</v>
      </c>
      <c r="CP473" s="39">
        <v>10.7</v>
      </c>
      <c r="CQ473" s="39">
        <v>1.63</v>
      </c>
      <c r="CR473" s="39">
        <v>46.16</v>
      </c>
      <c r="CS473" s="39">
        <v>16.95</v>
      </c>
      <c r="CT473" s="39">
        <v>2.83</v>
      </c>
    </row>
    <row r="474" spans="1:98">
      <c r="A474" s="1" t="s">
        <v>289</v>
      </c>
      <c r="B474" s="4" t="s">
        <v>290</v>
      </c>
      <c r="C474" s="50" t="s">
        <v>435</v>
      </c>
      <c r="D474" s="63">
        <v>67.22</v>
      </c>
      <c r="E474" s="63">
        <v>2.93</v>
      </c>
      <c r="F474" s="1" t="s">
        <v>309</v>
      </c>
      <c r="G474" s="46" t="s">
        <v>460</v>
      </c>
      <c r="J474" s="38" t="s">
        <v>256</v>
      </c>
      <c r="L474" s="1" t="s">
        <v>514</v>
      </c>
      <c r="M474" s="78" t="s">
        <v>868</v>
      </c>
      <c r="N474" s="78"/>
      <c r="Q474" s="1" t="s">
        <v>312</v>
      </c>
      <c r="R474" s="47">
        <v>60.4</v>
      </c>
      <c r="S474" s="47">
        <v>1.26</v>
      </c>
      <c r="T474" s="47">
        <v>16.2</v>
      </c>
      <c r="U474" s="47">
        <v>9.44</v>
      </c>
      <c r="V474" s="47"/>
      <c r="W474" s="47">
        <v>0.06</v>
      </c>
      <c r="X474" s="47">
        <v>0.88</v>
      </c>
      <c r="Y474" s="47">
        <v>3.92</v>
      </c>
      <c r="Z474" s="47">
        <v>2.36</v>
      </c>
      <c r="AA474" s="47">
        <v>0.52</v>
      </c>
      <c r="AB474" s="47">
        <v>0.11</v>
      </c>
      <c r="AC474" s="9">
        <v>3.32</v>
      </c>
      <c r="AD474" s="23">
        <f t="shared" si="363"/>
        <v>98.469999999999985</v>
      </c>
      <c r="AE474" s="21">
        <f t="shared" si="364"/>
        <v>8.486559999999999</v>
      </c>
      <c r="AF474" s="23">
        <f t="shared" si="365"/>
        <v>0.15601646041529765</v>
      </c>
      <c r="AH474" s="16">
        <f t="shared" si="366"/>
        <v>63.478717813977937</v>
      </c>
      <c r="AI474" s="16">
        <f t="shared" si="367"/>
        <v>1.3242249080399371</v>
      </c>
      <c r="AJ474" s="16">
        <f t="shared" si="368"/>
        <v>17.025748817656332</v>
      </c>
      <c r="AK474" s="16">
        <f t="shared" si="369"/>
        <v>9.9211770888071467</v>
      </c>
      <c r="AL474" s="16">
        <f t="shared" si="370"/>
        <v>0</v>
      </c>
      <c r="AM474" s="16">
        <f t="shared" si="371"/>
        <v>6.3058328954282719E-2</v>
      </c>
      <c r="AN474" s="16">
        <f t="shared" si="372"/>
        <v>0.92485549132947986</v>
      </c>
      <c r="AO474" s="16">
        <f t="shared" si="373"/>
        <v>4.1198108250131371</v>
      </c>
      <c r="AP474" s="16">
        <f t="shared" si="374"/>
        <v>2.4802942722017867</v>
      </c>
      <c r="AQ474" s="16">
        <f t="shared" si="375"/>
        <v>0.54650551760378352</v>
      </c>
      <c r="AR474" s="16">
        <f t="shared" si="376"/>
        <v>0.11560693641618498</v>
      </c>
      <c r="AS474" s="16">
        <f t="shared" si="377"/>
        <v>100</v>
      </c>
      <c r="AT474" s="16">
        <f t="shared" si="378"/>
        <v>8.9191382028376243</v>
      </c>
      <c r="AY474" s="46">
        <v>25</v>
      </c>
      <c r="AZ474" s="41"/>
      <c r="BA474" s="48">
        <v>160</v>
      </c>
      <c r="BB474" s="41"/>
      <c r="BC474" s="48">
        <v>66</v>
      </c>
      <c r="BD474" s="41"/>
      <c r="BE474" s="48">
        <v>15</v>
      </c>
      <c r="BF474" s="41"/>
      <c r="BG474" s="48">
        <v>18</v>
      </c>
      <c r="BH474" s="41"/>
      <c r="BI474" s="48">
        <v>15</v>
      </c>
      <c r="BJ474" s="41"/>
      <c r="BK474" s="48">
        <v>78</v>
      </c>
      <c r="BL474" s="41"/>
      <c r="BM474" s="41"/>
      <c r="BN474" s="41"/>
      <c r="BO474" s="48">
        <v>20</v>
      </c>
      <c r="BP474" s="41"/>
      <c r="BQ474" s="48">
        <v>213</v>
      </c>
      <c r="BR474" s="48"/>
      <c r="BS474" s="48">
        <v>31</v>
      </c>
      <c r="BT474" s="41"/>
      <c r="BU474" s="48">
        <v>324</v>
      </c>
      <c r="BV474" s="41"/>
      <c r="BW474" s="48">
        <v>22</v>
      </c>
      <c r="CA474" s="46"/>
      <c r="CB474" s="46"/>
      <c r="CC474" s="46"/>
      <c r="CD474" s="46"/>
      <c r="CE474" s="46"/>
      <c r="CF474" s="46"/>
      <c r="CG474" s="46"/>
      <c r="CH474" s="46"/>
      <c r="CI474" s="46"/>
      <c r="CJ474" s="46"/>
      <c r="CK474" s="46"/>
      <c r="CL474" s="46"/>
      <c r="CM474" s="46"/>
      <c r="CN474" s="46"/>
      <c r="CO474" s="46"/>
      <c r="CP474" s="46"/>
      <c r="CQ474" s="46"/>
      <c r="CR474" s="46">
        <v>20</v>
      </c>
      <c r="CS474" s="46"/>
      <c r="CT474" s="46"/>
    </row>
    <row r="475" spans="1:98">
      <c r="A475" s="1" t="s">
        <v>289</v>
      </c>
      <c r="B475" s="4" t="s">
        <v>290</v>
      </c>
      <c r="C475" s="50" t="s">
        <v>443</v>
      </c>
      <c r="D475" s="63">
        <v>67.22</v>
      </c>
      <c r="E475" s="63">
        <v>2.93</v>
      </c>
      <c r="F475" s="1" t="s">
        <v>309</v>
      </c>
      <c r="G475" s="46" t="s">
        <v>460</v>
      </c>
      <c r="J475" s="38" t="s">
        <v>256</v>
      </c>
      <c r="L475" s="1" t="s">
        <v>514</v>
      </c>
      <c r="M475" s="78" t="s">
        <v>868</v>
      </c>
      <c r="N475" s="78"/>
      <c r="Q475" s="1" t="s">
        <v>312</v>
      </c>
      <c r="R475" s="47">
        <v>67.2</v>
      </c>
      <c r="S475" s="47">
        <v>1.2</v>
      </c>
      <c r="T475" s="47">
        <v>14.25</v>
      </c>
      <c r="U475" s="47">
        <v>4.88</v>
      </c>
      <c r="V475" s="47">
        <v>1.62</v>
      </c>
      <c r="W475" s="47">
        <v>0.05</v>
      </c>
      <c r="X475" s="47">
        <v>0.43</v>
      </c>
      <c r="Y475" s="47">
        <v>1.62</v>
      </c>
      <c r="Z475" s="47">
        <v>1.84</v>
      </c>
      <c r="AA475" s="47">
        <v>2.94</v>
      </c>
      <c r="AB475" s="47">
        <v>0.16</v>
      </c>
      <c r="AD475" s="23">
        <f t="shared" si="363"/>
        <v>96.190000000000012</v>
      </c>
      <c r="AE475" s="21">
        <f t="shared" si="364"/>
        <v>6.0071200000000005</v>
      </c>
      <c r="AF475" s="23">
        <f t="shared" si="365"/>
        <v>0.11316922960059</v>
      </c>
      <c r="AH475" s="16">
        <f t="shared" si="366"/>
        <v>69.861731988772206</v>
      </c>
      <c r="AI475" s="16">
        <f t="shared" si="367"/>
        <v>1.2475309283709324</v>
      </c>
      <c r="AJ475" s="16">
        <f t="shared" si="368"/>
        <v>14.814429774404822</v>
      </c>
      <c r="AK475" s="16">
        <f t="shared" si="369"/>
        <v>5.073292442041792</v>
      </c>
      <c r="AL475" s="16">
        <f t="shared" si="370"/>
        <v>1.6841667533007587</v>
      </c>
      <c r="AM475" s="16">
        <f t="shared" si="371"/>
        <v>5.1980455348788847E-2</v>
      </c>
      <c r="AN475" s="16">
        <f t="shared" si="372"/>
        <v>0.44703191599958408</v>
      </c>
      <c r="AO475" s="16">
        <f t="shared" si="373"/>
        <v>1.6841667533007587</v>
      </c>
      <c r="AP475" s="16">
        <f t="shared" si="374"/>
        <v>1.9128807568354296</v>
      </c>
      <c r="AQ475" s="16">
        <f t="shared" si="375"/>
        <v>3.0564507745087841</v>
      </c>
      <c r="AR475" s="16">
        <f t="shared" si="376"/>
        <v>0.16633745711612433</v>
      </c>
      <c r="AS475" s="16">
        <f t="shared" si="377"/>
        <v>99.999999999999986</v>
      </c>
      <c r="AT475" s="16">
        <f t="shared" si="378"/>
        <v>6.2450566586963303</v>
      </c>
      <c r="AY475" s="46"/>
      <c r="AZ475" s="41"/>
      <c r="BA475" s="48">
        <v>116</v>
      </c>
      <c r="BB475" s="41"/>
      <c r="BC475" s="48">
        <v>65</v>
      </c>
      <c r="BD475" s="41"/>
      <c r="BE475" s="48">
        <v>3</v>
      </c>
      <c r="BF475" s="41"/>
      <c r="BG475" s="48">
        <v>9</v>
      </c>
      <c r="BH475" s="41"/>
      <c r="BI475" s="48">
        <v>30</v>
      </c>
      <c r="BJ475" s="41"/>
      <c r="BK475" s="48">
        <v>75</v>
      </c>
      <c r="BL475" s="41"/>
      <c r="BM475" s="41"/>
      <c r="BN475" s="41"/>
      <c r="BO475" s="48">
        <v>120</v>
      </c>
      <c r="BP475" s="41"/>
      <c r="BQ475" s="48">
        <v>159</v>
      </c>
      <c r="BR475" s="46"/>
      <c r="BS475" s="48">
        <v>43</v>
      </c>
      <c r="BT475" s="41"/>
      <c r="BU475" s="48">
        <v>270</v>
      </c>
      <c r="BV475" s="41"/>
      <c r="BW475" s="48">
        <v>19</v>
      </c>
      <c r="CA475" s="46">
        <v>530</v>
      </c>
      <c r="CB475" s="46"/>
      <c r="CC475" s="46"/>
      <c r="CD475" s="46"/>
      <c r="CE475" s="46"/>
      <c r="CF475" s="46"/>
      <c r="CG475" s="46"/>
      <c r="CH475" s="46"/>
      <c r="CI475" s="46"/>
      <c r="CJ475" s="46"/>
      <c r="CK475" s="46"/>
      <c r="CL475" s="46"/>
      <c r="CM475" s="46"/>
      <c r="CN475" s="46"/>
      <c r="CO475" s="46"/>
      <c r="CP475" s="46"/>
      <c r="CQ475" s="46"/>
      <c r="CR475" s="46"/>
      <c r="CS475" s="46"/>
      <c r="CT475" s="46"/>
    </row>
    <row r="476" spans="1:98">
      <c r="A476" s="1" t="s">
        <v>289</v>
      </c>
      <c r="B476" s="4" t="s">
        <v>290</v>
      </c>
      <c r="C476" s="40" t="s">
        <v>121</v>
      </c>
      <c r="D476" s="63">
        <v>67.22</v>
      </c>
      <c r="E476" s="63">
        <v>2.93</v>
      </c>
      <c r="F476" s="1" t="s">
        <v>309</v>
      </c>
      <c r="G476" s="4" t="s">
        <v>93</v>
      </c>
      <c r="H476" s="4"/>
      <c r="J476" s="40" t="s">
        <v>256</v>
      </c>
      <c r="K476" s="40"/>
      <c r="L476" s="4" t="s">
        <v>423</v>
      </c>
      <c r="M476" s="78" t="s">
        <v>867</v>
      </c>
      <c r="N476" s="78"/>
      <c r="O476" s="40"/>
      <c r="P476" s="4"/>
      <c r="Q476" s="4"/>
      <c r="R476" s="4">
        <v>69.86</v>
      </c>
      <c r="S476" s="4">
        <v>1.25</v>
      </c>
      <c r="T476" s="4">
        <v>14.81</v>
      </c>
      <c r="U476" s="4">
        <v>6.94</v>
      </c>
      <c r="W476" s="4">
        <v>0.05</v>
      </c>
      <c r="X476" s="4">
        <v>0.45</v>
      </c>
      <c r="Y476" s="4">
        <v>1.68</v>
      </c>
      <c r="Z476" s="4">
        <v>1.91</v>
      </c>
      <c r="AA476" s="4">
        <v>3.06</v>
      </c>
      <c r="AB476" s="4">
        <v>0.17</v>
      </c>
      <c r="AD476" s="23">
        <f t="shared" si="363"/>
        <v>100.18</v>
      </c>
      <c r="AE476" s="21">
        <f t="shared" si="364"/>
        <v>6.2390600000000003</v>
      </c>
      <c r="AF476" s="23">
        <f t="shared" si="365"/>
        <v>0.1139320327540727</v>
      </c>
      <c r="AG476" s="45"/>
      <c r="AH476" s="16">
        <f t="shared" si="366"/>
        <v>69.734477939708526</v>
      </c>
      <c r="AI476" s="16">
        <f t="shared" si="367"/>
        <v>1.2477540427230984</v>
      </c>
      <c r="AJ476" s="16">
        <f t="shared" si="368"/>
        <v>14.78338989818327</v>
      </c>
      <c r="AK476" s="16">
        <f t="shared" si="369"/>
        <v>6.9275304451986424</v>
      </c>
      <c r="AL476" s="16">
        <f t="shared" si="370"/>
        <v>0</v>
      </c>
      <c r="AM476" s="16">
        <f t="shared" si="371"/>
        <v>4.9910161708923935E-2</v>
      </c>
      <c r="AN476" s="16">
        <f t="shared" si="372"/>
        <v>0.44919145538031541</v>
      </c>
      <c r="AO476" s="16">
        <f t="shared" si="373"/>
        <v>1.6769814334198441</v>
      </c>
      <c r="AP476" s="16">
        <f t="shared" si="374"/>
        <v>1.9065681772808942</v>
      </c>
      <c r="AQ476" s="16">
        <f t="shared" si="375"/>
        <v>3.0545018965861446</v>
      </c>
      <c r="AR476" s="16">
        <f t="shared" si="376"/>
        <v>0.16969454981034138</v>
      </c>
      <c r="AS476" s="16">
        <f t="shared" si="377"/>
        <v>100</v>
      </c>
      <c r="AT476" s="16">
        <f t="shared" si="378"/>
        <v>6.2278498702335794</v>
      </c>
      <c r="AU476" s="45"/>
      <c r="AV476" s="4"/>
      <c r="AY476" s="39">
        <v>24.4</v>
      </c>
      <c r="BR476" s="39">
        <v>40.71</v>
      </c>
      <c r="BS476" s="39"/>
      <c r="BT476" s="39">
        <v>282.93</v>
      </c>
      <c r="BV476" s="39">
        <v>21.07</v>
      </c>
      <c r="BW476" s="39"/>
      <c r="CA476" s="39">
        <v>546.96</v>
      </c>
      <c r="CB476" s="39">
        <v>38.619999999999997</v>
      </c>
      <c r="CC476" s="39">
        <v>82.69</v>
      </c>
      <c r="CD476" s="39">
        <v>9.23</v>
      </c>
      <c r="CE476" s="39">
        <v>36.75</v>
      </c>
      <c r="CF476" s="39">
        <v>7.72</v>
      </c>
      <c r="CG476" s="39">
        <v>1.1000000000000001</v>
      </c>
      <c r="CH476" s="39">
        <v>7.52</v>
      </c>
      <c r="CI476" s="39">
        <v>1.23</v>
      </c>
      <c r="CJ476" s="39">
        <v>7.4</v>
      </c>
      <c r="CK476" s="39">
        <v>1.5</v>
      </c>
      <c r="CL476" s="39">
        <v>4.21</v>
      </c>
      <c r="CM476" s="39">
        <v>0.65</v>
      </c>
      <c r="CN476" s="39">
        <v>3.99</v>
      </c>
      <c r="CO476" s="39">
        <v>0.6</v>
      </c>
      <c r="CP476" s="39">
        <v>7.45</v>
      </c>
      <c r="CQ476" s="39">
        <v>1.56</v>
      </c>
      <c r="CR476" s="39">
        <v>22.03</v>
      </c>
      <c r="CS476" s="39">
        <v>12.61</v>
      </c>
      <c r="CT476" s="39">
        <v>3.24</v>
      </c>
    </row>
    <row r="477" spans="1:98">
      <c r="A477" s="1" t="s">
        <v>289</v>
      </c>
      <c r="B477" s="4" t="s">
        <v>290</v>
      </c>
      <c r="C477" s="50" t="s">
        <v>517</v>
      </c>
      <c r="D477" s="63">
        <v>67.22</v>
      </c>
      <c r="E477" s="63">
        <v>2.93</v>
      </c>
      <c r="F477" s="1" t="s">
        <v>309</v>
      </c>
      <c r="G477" s="46" t="s">
        <v>462</v>
      </c>
      <c r="J477" s="38" t="s">
        <v>256</v>
      </c>
      <c r="L477" s="1" t="s">
        <v>514</v>
      </c>
      <c r="M477" s="78" t="s">
        <v>868</v>
      </c>
      <c r="N477" s="78"/>
      <c r="Q477" s="1" t="s">
        <v>312</v>
      </c>
      <c r="R477" s="47">
        <v>57</v>
      </c>
      <c r="S477" s="47">
        <v>1.31</v>
      </c>
      <c r="T477" s="47">
        <v>19.100000000000001</v>
      </c>
      <c r="U477" s="47">
        <v>1.45</v>
      </c>
      <c r="V477" s="47"/>
      <c r="W477" s="47">
        <v>0.02</v>
      </c>
      <c r="X477" s="47">
        <v>0.35</v>
      </c>
      <c r="Y477" s="47">
        <v>3.25</v>
      </c>
      <c r="Z477" s="47">
        <v>2.48</v>
      </c>
      <c r="AA477" s="47">
        <v>8.24</v>
      </c>
      <c r="AB477" s="47">
        <v>0.24</v>
      </c>
      <c r="AC477" s="9">
        <v>5.85</v>
      </c>
      <c r="AD477" s="23">
        <f t="shared" si="363"/>
        <v>99.289999999999978</v>
      </c>
      <c r="AE477" s="21">
        <f t="shared" si="364"/>
        <v>1.30355</v>
      </c>
      <c r="AF477" s="23">
        <f t="shared" si="365"/>
        <v>0.32371134007346825</v>
      </c>
      <c r="AH477" s="16">
        <f t="shared" si="366"/>
        <v>61.001712328767134</v>
      </c>
      <c r="AI477" s="16">
        <f t="shared" si="367"/>
        <v>1.4019691780821921</v>
      </c>
      <c r="AJ477" s="16">
        <f t="shared" si="368"/>
        <v>20.440924657534254</v>
      </c>
      <c r="AK477" s="16">
        <f t="shared" si="369"/>
        <v>1.5517979452054798</v>
      </c>
      <c r="AL477" s="16">
        <f t="shared" si="370"/>
        <v>0</v>
      </c>
      <c r="AM477" s="16">
        <f t="shared" si="371"/>
        <v>2.1404109589041098E-2</v>
      </c>
      <c r="AN477" s="16">
        <f t="shared" si="372"/>
        <v>0.37457191780821925</v>
      </c>
      <c r="AO477" s="16">
        <f t="shared" si="373"/>
        <v>3.4781678082191787</v>
      </c>
      <c r="AP477" s="16">
        <f t="shared" si="374"/>
        <v>2.6541095890410964</v>
      </c>
      <c r="AQ477" s="16">
        <f t="shared" si="375"/>
        <v>8.8184931506849331</v>
      </c>
      <c r="AR477" s="16">
        <f t="shared" si="376"/>
        <v>0.25684931506849318</v>
      </c>
      <c r="AS477" s="16">
        <f t="shared" si="377"/>
        <v>100.00000000000003</v>
      </c>
      <c r="AT477" s="16">
        <f t="shared" si="378"/>
        <v>1.3950663527397262</v>
      </c>
      <c r="AY477" s="46"/>
      <c r="AZ477" s="41"/>
      <c r="BA477" s="48"/>
      <c r="BB477" s="41"/>
      <c r="BC477" s="48"/>
      <c r="BD477" s="41"/>
      <c r="BE477" s="48"/>
      <c r="BF477" s="41"/>
      <c r="BG477" s="48"/>
      <c r="BH477" s="41"/>
      <c r="BI477" s="48"/>
      <c r="BJ477" s="41"/>
      <c r="BK477" s="48"/>
      <c r="BL477" s="41"/>
      <c r="BM477" s="41"/>
      <c r="BN477" s="41"/>
      <c r="BO477" s="48"/>
      <c r="BP477" s="41"/>
      <c r="BQ477" s="48"/>
      <c r="BR477" s="46"/>
      <c r="BS477" s="48"/>
      <c r="BT477" s="41"/>
      <c r="BU477" s="48"/>
      <c r="BV477" s="41"/>
      <c r="BW477" s="48"/>
      <c r="CA477" s="46">
        <v>259.47000000000003</v>
      </c>
      <c r="CB477" s="46"/>
      <c r="CC477" s="46">
        <v>105.32</v>
      </c>
      <c r="CD477" s="46"/>
      <c r="CE477" s="46">
        <v>49.31</v>
      </c>
      <c r="CF477" s="46">
        <v>10.19</v>
      </c>
      <c r="CG477" s="46">
        <v>1.73</v>
      </c>
      <c r="CH477" s="46">
        <v>10.07</v>
      </c>
      <c r="CI477" s="46">
        <v>1.7</v>
      </c>
      <c r="CJ477" s="46"/>
      <c r="CK477" s="46"/>
      <c r="CL477" s="46"/>
      <c r="CM477" s="46"/>
      <c r="CN477" s="46">
        <v>8.24</v>
      </c>
      <c r="CO477" s="46">
        <v>1.23</v>
      </c>
      <c r="CP477" s="46">
        <v>8.52</v>
      </c>
      <c r="CQ477" s="46">
        <v>1.42</v>
      </c>
      <c r="CR477" s="46"/>
      <c r="CS477" s="46">
        <v>15.8</v>
      </c>
      <c r="CT477" s="46"/>
    </row>
    <row r="478" spans="1:98">
      <c r="A478" s="1" t="s">
        <v>289</v>
      </c>
      <c r="B478" s="4" t="s">
        <v>290</v>
      </c>
      <c r="C478" s="50" t="s">
        <v>445</v>
      </c>
      <c r="D478" s="63">
        <v>67.22</v>
      </c>
      <c r="E478" s="63">
        <v>2.93</v>
      </c>
      <c r="F478" s="1" t="s">
        <v>309</v>
      </c>
      <c r="G478" s="46" t="s">
        <v>462</v>
      </c>
      <c r="J478" s="38" t="s">
        <v>256</v>
      </c>
      <c r="L478" s="1" t="s">
        <v>514</v>
      </c>
      <c r="M478" s="78" t="s">
        <v>868</v>
      </c>
      <c r="N478" s="78"/>
      <c r="Q478" s="1" t="s">
        <v>312</v>
      </c>
      <c r="R478" s="47">
        <v>49</v>
      </c>
      <c r="S478" s="47">
        <v>1.44</v>
      </c>
      <c r="T478" s="47">
        <v>17.7</v>
      </c>
      <c r="U478" s="47">
        <v>14.9</v>
      </c>
      <c r="V478" s="47"/>
      <c r="W478" s="47">
        <v>0.12</v>
      </c>
      <c r="X478" s="47">
        <v>2.4</v>
      </c>
      <c r="Y478" s="47">
        <v>3.5</v>
      </c>
      <c r="Z478" s="47">
        <v>2.06</v>
      </c>
      <c r="AA478" s="47">
        <v>0.64</v>
      </c>
      <c r="AB478" s="47">
        <v>0.23</v>
      </c>
      <c r="AC478" s="9">
        <v>5.35</v>
      </c>
      <c r="AD478" s="23">
        <f t="shared" si="363"/>
        <v>97.340000000000018</v>
      </c>
      <c r="AE478" s="21">
        <f t="shared" si="364"/>
        <v>13.395100000000001</v>
      </c>
      <c r="AF478" s="23">
        <f t="shared" si="365"/>
        <v>0.24208642007947423</v>
      </c>
      <c r="AH478" s="16">
        <f t="shared" si="366"/>
        <v>53.266659419502105</v>
      </c>
      <c r="AI478" s="16">
        <f t="shared" si="367"/>
        <v>1.5653875421241434</v>
      </c>
      <c r="AJ478" s="16">
        <f t="shared" si="368"/>
        <v>19.241221871942596</v>
      </c>
      <c r="AK478" s="16">
        <f t="shared" si="369"/>
        <v>16.197412762256764</v>
      </c>
      <c r="AL478" s="16">
        <f t="shared" si="370"/>
        <v>0</v>
      </c>
      <c r="AM478" s="16">
        <f t="shared" si="371"/>
        <v>0.13044896184367863</v>
      </c>
      <c r="AN478" s="16">
        <f t="shared" si="372"/>
        <v>2.6089792368735725</v>
      </c>
      <c r="AO478" s="16">
        <f t="shared" si="373"/>
        <v>3.8047613871072934</v>
      </c>
      <c r="AP478" s="16">
        <f t="shared" si="374"/>
        <v>2.2393738449831497</v>
      </c>
      <c r="AQ478" s="16">
        <f t="shared" si="375"/>
        <v>0.69572779649961936</v>
      </c>
      <c r="AR478" s="16">
        <f t="shared" si="376"/>
        <v>0.25002717686705073</v>
      </c>
      <c r="AS478" s="16">
        <f t="shared" si="377"/>
        <v>99.999999999999972</v>
      </c>
      <c r="AT478" s="16">
        <f t="shared" si="378"/>
        <v>14.561474073268831</v>
      </c>
      <c r="AY478" s="46">
        <v>28</v>
      </c>
      <c r="AZ478" s="41"/>
      <c r="BA478" s="48">
        <v>203</v>
      </c>
      <c r="BB478" s="41"/>
      <c r="BC478" s="48">
        <v>85</v>
      </c>
      <c r="BD478" s="41"/>
      <c r="BE478" s="48">
        <v>34</v>
      </c>
      <c r="BF478" s="41"/>
      <c r="BG478" s="48">
        <v>25</v>
      </c>
      <c r="BH478" s="41"/>
      <c r="BI478" s="48">
        <v>26</v>
      </c>
      <c r="BJ478" s="41"/>
      <c r="BK478" s="48">
        <v>128</v>
      </c>
      <c r="BL478" s="41"/>
      <c r="BM478" s="41"/>
      <c r="BN478" s="41"/>
      <c r="BO478" s="48">
        <v>25</v>
      </c>
      <c r="BP478" s="41"/>
      <c r="BQ478" s="48">
        <v>134</v>
      </c>
      <c r="BR478" s="46"/>
      <c r="BS478" s="48">
        <v>51</v>
      </c>
      <c r="BT478" s="41"/>
      <c r="BU478" s="48">
        <v>363</v>
      </c>
      <c r="BV478" s="41"/>
      <c r="BW478" s="48">
        <v>24</v>
      </c>
      <c r="CA478" s="46"/>
      <c r="CB478" s="46"/>
      <c r="CC478" s="46"/>
      <c r="CD478" s="46"/>
      <c r="CE478" s="46"/>
      <c r="CF478" s="46"/>
      <c r="CG478" s="46"/>
      <c r="CH478" s="46"/>
      <c r="CI478" s="46"/>
      <c r="CJ478" s="46"/>
      <c r="CK478" s="46"/>
      <c r="CL478" s="46"/>
      <c r="CM478" s="46"/>
      <c r="CN478" s="46"/>
      <c r="CO478" s="46"/>
      <c r="CP478" s="46"/>
      <c r="CQ478" s="46"/>
      <c r="CR478" s="46">
        <v>24</v>
      </c>
      <c r="CS478" s="46"/>
      <c r="CT478" s="46"/>
    </row>
    <row r="479" spans="1:98">
      <c r="A479" s="1" t="s">
        <v>289</v>
      </c>
      <c r="B479" s="4" t="s">
        <v>290</v>
      </c>
      <c r="C479" s="50" t="s">
        <v>458</v>
      </c>
      <c r="D479" s="63">
        <v>67.22</v>
      </c>
      <c r="E479" s="63">
        <v>2.93</v>
      </c>
      <c r="F479" s="1" t="s">
        <v>309</v>
      </c>
      <c r="G479" s="46" t="s">
        <v>462</v>
      </c>
      <c r="J479" s="38" t="s">
        <v>256</v>
      </c>
      <c r="L479" s="1" t="s">
        <v>514</v>
      </c>
      <c r="M479" s="78" t="s">
        <v>868</v>
      </c>
      <c r="N479" s="78"/>
      <c r="Q479" s="1" t="s">
        <v>312</v>
      </c>
      <c r="R479" s="47">
        <v>48</v>
      </c>
      <c r="S479" s="47">
        <v>1.43</v>
      </c>
      <c r="T479" s="47">
        <v>17.5</v>
      </c>
      <c r="U479" s="47">
        <v>11.7</v>
      </c>
      <c r="V479" s="47"/>
      <c r="W479" s="47">
        <v>0.09</v>
      </c>
      <c r="X479" s="47">
        <v>2.02</v>
      </c>
      <c r="Y479" s="47">
        <v>3.18</v>
      </c>
      <c r="Z479" s="47">
        <v>1.68</v>
      </c>
      <c r="AA479" s="47">
        <v>0.4</v>
      </c>
      <c r="AB479" s="47">
        <v>0.25</v>
      </c>
      <c r="AC479" s="9">
        <v>13.8</v>
      </c>
      <c r="AD479" s="23">
        <f t="shared" si="363"/>
        <v>100.05000000000003</v>
      </c>
      <c r="AE479" s="21">
        <f t="shared" si="364"/>
        <v>10.5183</v>
      </c>
      <c r="AF479" s="23">
        <f t="shared" si="365"/>
        <v>0.25504696848681863</v>
      </c>
      <c r="AH479" s="16">
        <f t="shared" si="366"/>
        <v>55.652173913043463</v>
      </c>
      <c r="AI479" s="16">
        <f t="shared" si="367"/>
        <v>1.6579710144927531</v>
      </c>
      <c r="AJ479" s="16">
        <f t="shared" si="368"/>
        <v>20.289855072463762</v>
      </c>
      <c r="AK479" s="16">
        <f t="shared" si="369"/>
        <v>13.565217391304344</v>
      </c>
      <c r="AL479" s="16">
        <f t="shared" si="370"/>
        <v>0</v>
      </c>
      <c r="AM479" s="16">
        <f t="shared" si="371"/>
        <v>0.10434782608695649</v>
      </c>
      <c r="AN479" s="16">
        <f t="shared" si="372"/>
        <v>2.3420289855072456</v>
      </c>
      <c r="AO479" s="16">
        <f t="shared" si="373"/>
        <v>3.6869565217391291</v>
      </c>
      <c r="AP479" s="16">
        <f t="shared" si="374"/>
        <v>1.9478260869565212</v>
      </c>
      <c r="AQ479" s="16">
        <f t="shared" si="375"/>
        <v>0.46376811594202882</v>
      </c>
      <c r="AR479" s="16">
        <f t="shared" si="376"/>
        <v>0.28985507246376802</v>
      </c>
      <c r="AS479" s="16">
        <f t="shared" si="377"/>
        <v>99.999999999999972</v>
      </c>
      <c r="AT479" s="16">
        <f t="shared" si="378"/>
        <v>12.195130434782605</v>
      </c>
      <c r="AY479" s="46"/>
      <c r="AZ479" s="41"/>
      <c r="BA479" s="48"/>
      <c r="BB479" s="41"/>
      <c r="BC479" s="48"/>
      <c r="BD479" s="41"/>
      <c r="BE479" s="48"/>
      <c r="BF479" s="41"/>
      <c r="BG479" s="48"/>
      <c r="BH479" s="41"/>
      <c r="BI479" s="48"/>
      <c r="BJ479" s="41"/>
      <c r="BK479" s="48"/>
      <c r="BL479" s="41"/>
      <c r="BM479" s="41"/>
      <c r="BN479" s="41"/>
      <c r="BO479" s="48"/>
      <c r="BP479" s="41"/>
      <c r="BQ479" s="48"/>
      <c r="BR479" s="46"/>
      <c r="BS479" s="48"/>
      <c r="BT479" s="41"/>
      <c r="BU479" s="48"/>
      <c r="BV479" s="41"/>
      <c r="BW479" s="48"/>
      <c r="CA479" s="46">
        <v>62.14</v>
      </c>
      <c r="CB479" s="46"/>
      <c r="CC479" s="46">
        <v>108.36</v>
      </c>
      <c r="CD479" s="46"/>
      <c r="CE479" s="46">
        <v>53.53</v>
      </c>
      <c r="CF479" s="46">
        <v>10.85</v>
      </c>
      <c r="CG479" s="46">
        <v>1.73</v>
      </c>
      <c r="CH479" s="46">
        <v>11.21</v>
      </c>
      <c r="CI479" s="46">
        <v>1.58</v>
      </c>
      <c r="CJ479" s="46"/>
      <c r="CK479" s="46"/>
      <c r="CL479" s="46"/>
      <c r="CM479" s="46"/>
      <c r="CN479" s="46">
        <v>5.22</v>
      </c>
      <c r="CO479" s="46">
        <v>0.72</v>
      </c>
      <c r="CP479" s="46">
        <v>8.07</v>
      </c>
      <c r="CQ479" s="46">
        <v>1.33</v>
      </c>
      <c r="CR479" s="46"/>
      <c r="CS479" s="46">
        <v>14.76</v>
      </c>
      <c r="CT479" s="46"/>
    </row>
    <row r="480" spans="1:98">
      <c r="A480" s="1" t="s">
        <v>289</v>
      </c>
      <c r="B480" s="4" t="s">
        <v>290</v>
      </c>
      <c r="C480" s="50" t="s">
        <v>516</v>
      </c>
      <c r="D480" s="63">
        <v>67.22</v>
      </c>
      <c r="E480" s="63">
        <v>2.93</v>
      </c>
      <c r="F480" s="1" t="s">
        <v>309</v>
      </c>
      <c r="G480" s="46" t="s">
        <v>459</v>
      </c>
      <c r="J480" s="38" t="s">
        <v>256</v>
      </c>
      <c r="L480" s="1" t="s">
        <v>514</v>
      </c>
      <c r="M480" s="78" t="s">
        <v>868</v>
      </c>
      <c r="N480" s="78"/>
      <c r="Q480" s="1" t="s">
        <v>312</v>
      </c>
      <c r="R480" s="47">
        <v>61.6</v>
      </c>
      <c r="S480" s="47">
        <v>1.42</v>
      </c>
      <c r="T480" s="47">
        <v>19.260000000000002</v>
      </c>
      <c r="U480" s="47">
        <v>0.22</v>
      </c>
      <c r="V480" s="47">
        <v>0.42</v>
      </c>
      <c r="W480" s="47">
        <v>0.01</v>
      </c>
      <c r="X480" s="47">
        <v>0.16</v>
      </c>
      <c r="Y480" s="47">
        <v>3.61</v>
      </c>
      <c r="Z480" s="47">
        <v>1.86</v>
      </c>
      <c r="AA480" s="47">
        <v>8.59</v>
      </c>
      <c r="AB480" s="47">
        <v>0.28999999999999998</v>
      </c>
      <c r="AD480" s="23">
        <f>SUM(R480:AB480)+AC480</f>
        <v>97.440000000000012</v>
      </c>
      <c r="AE480" s="21">
        <f>V480+0.899*U480</f>
        <v>0.61778</v>
      </c>
      <c r="AF480" s="23">
        <f>(X480/40.3)/((X480/40.3)+(AE480/71.844))</f>
        <v>0.31587092110937548</v>
      </c>
      <c r="AH480" s="16">
        <f t="shared" ref="AH480:AR481" si="379">100*R480/SUM($R480:$AB480)</f>
        <v>63.218390804597696</v>
      </c>
      <c r="AI480" s="16">
        <f t="shared" si="379"/>
        <v>1.4573070607553364</v>
      </c>
      <c r="AJ480" s="16">
        <f t="shared" si="379"/>
        <v>19.766009852216747</v>
      </c>
      <c r="AK480" s="16">
        <f t="shared" si="379"/>
        <v>0.22577996715927748</v>
      </c>
      <c r="AL480" s="16">
        <f t="shared" si="379"/>
        <v>0.43103448275862066</v>
      </c>
      <c r="AM480" s="16">
        <f t="shared" si="379"/>
        <v>1.0262725779967157E-2</v>
      </c>
      <c r="AN480" s="16">
        <f t="shared" si="379"/>
        <v>0.16420361247947451</v>
      </c>
      <c r="AO480" s="16">
        <f t="shared" si="379"/>
        <v>3.7048440065681438</v>
      </c>
      <c r="AP480" s="16">
        <f t="shared" si="379"/>
        <v>1.9088669950738915</v>
      </c>
      <c r="AQ480" s="16">
        <f t="shared" si="379"/>
        <v>8.8156814449917889</v>
      </c>
      <c r="AR480" s="16">
        <f t="shared" si="379"/>
        <v>0.29761904761904756</v>
      </c>
      <c r="AS480" s="16">
        <f>SUM(AH480:AR480)</f>
        <v>99.999999999999986</v>
      </c>
      <c r="AT480" s="16">
        <f>AL480+0.899*AK480</f>
        <v>0.63401067323481108</v>
      </c>
      <c r="AY480" s="46"/>
      <c r="AZ480" s="41"/>
      <c r="BA480" s="48">
        <v>120</v>
      </c>
      <c r="BB480" s="41"/>
      <c r="BC480" s="48">
        <v>64</v>
      </c>
      <c r="BD480" s="41"/>
      <c r="BE480" s="48">
        <v>3</v>
      </c>
      <c r="BF480" s="41"/>
      <c r="BG480" s="48">
        <v>16</v>
      </c>
      <c r="BH480" s="41"/>
      <c r="BI480" s="48">
        <v>31</v>
      </c>
      <c r="BJ480" s="41"/>
      <c r="BK480" s="48">
        <v>139</v>
      </c>
      <c r="BL480" s="41"/>
      <c r="BM480" s="41"/>
      <c r="BN480" s="41"/>
      <c r="BO480" s="48">
        <v>201</v>
      </c>
      <c r="BP480" s="41"/>
      <c r="BQ480" s="48">
        <v>230</v>
      </c>
      <c r="BR480" s="46"/>
      <c r="BS480" s="48">
        <v>85</v>
      </c>
      <c r="BT480" s="41"/>
      <c r="BU480" s="48">
        <v>322</v>
      </c>
      <c r="BV480" s="41"/>
      <c r="BW480" s="48">
        <v>22</v>
      </c>
      <c r="CA480" s="46">
        <v>189</v>
      </c>
      <c r="CB480" s="46"/>
      <c r="CC480" s="46"/>
      <c r="CD480" s="46"/>
      <c r="CE480" s="46"/>
      <c r="CF480" s="46"/>
      <c r="CG480" s="46"/>
      <c r="CH480" s="46"/>
      <c r="CI480" s="46"/>
      <c r="CJ480" s="46"/>
      <c r="CK480" s="46"/>
      <c r="CL480" s="46"/>
      <c r="CM480" s="46"/>
      <c r="CN480" s="46"/>
      <c r="CO480" s="46"/>
      <c r="CP480" s="46"/>
      <c r="CQ480" s="46"/>
      <c r="CR480" s="46"/>
      <c r="CS480" s="46"/>
      <c r="CT480" s="46"/>
    </row>
    <row r="481" spans="1:98">
      <c r="A481" s="1" t="s">
        <v>289</v>
      </c>
      <c r="B481" s="4" t="s">
        <v>290</v>
      </c>
      <c r="C481" s="50" t="s">
        <v>446</v>
      </c>
      <c r="D481" s="63">
        <v>67.22</v>
      </c>
      <c r="E481" s="63">
        <v>2.93</v>
      </c>
      <c r="F481" s="1" t="s">
        <v>309</v>
      </c>
      <c r="G481" s="46" t="s">
        <v>459</v>
      </c>
      <c r="J481" s="38" t="s">
        <v>256</v>
      </c>
      <c r="L481" s="1" t="s">
        <v>514</v>
      </c>
      <c r="M481" s="78" t="s">
        <v>868</v>
      </c>
      <c r="N481" s="78"/>
      <c r="Q481" s="1" t="s">
        <v>312</v>
      </c>
      <c r="R481" s="47">
        <v>53.2</v>
      </c>
      <c r="S481" s="47">
        <v>1.36</v>
      </c>
      <c r="T481" s="47">
        <v>16.5</v>
      </c>
      <c r="U481" s="47">
        <v>13.8</v>
      </c>
      <c r="V481" s="47"/>
      <c r="W481" s="47">
        <v>0.12</v>
      </c>
      <c r="X481" s="47">
        <v>2.98</v>
      </c>
      <c r="Y481" s="47">
        <v>2.84</v>
      </c>
      <c r="Z481" s="47">
        <v>1.98</v>
      </c>
      <c r="AA481" s="47">
        <v>0.34</v>
      </c>
      <c r="AB481" s="47">
        <v>0.16</v>
      </c>
      <c r="AC481" s="9">
        <v>5.62</v>
      </c>
      <c r="AD481" s="23">
        <f>SUM(R481:AB481)+AC481</f>
        <v>98.90000000000002</v>
      </c>
      <c r="AE481" s="21">
        <f>V481+0.899*U481</f>
        <v>12.4062</v>
      </c>
      <c r="AF481" s="23">
        <f>(X481/40.3)/((X481/40.3)+(AE481/71.844))</f>
        <v>0.29982582257429846</v>
      </c>
      <c r="AH481" s="16">
        <f t="shared" si="379"/>
        <v>57.032590051457966</v>
      </c>
      <c r="AI481" s="16">
        <f t="shared" si="379"/>
        <v>1.4579759862778727</v>
      </c>
      <c r="AJ481" s="16">
        <f t="shared" si="379"/>
        <v>17.688679245283016</v>
      </c>
      <c r="AK481" s="16">
        <f t="shared" si="379"/>
        <v>14.794168096054886</v>
      </c>
      <c r="AL481" s="16">
        <f t="shared" si="379"/>
        <v>0</v>
      </c>
      <c r="AM481" s="16">
        <f t="shared" si="379"/>
        <v>0.12864493996569465</v>
      </c>
      <c r="AN481" s="16">
        <f t="shared" si="379"/>
        <v>3.1946826758147506</v>
      </c>
      <c r="AO481" s="16">
        <f t="shared" si="379"/>
        <v>3.0445969125214405</v>
      </c>
      <c r="AP481" s="16">
        <f t="shared" si="379"/>
        <v>2.1226415094339619</v>
      </c>
      <c r="AQ481" s="16">
        <f t="shared" si="379"/>
        <v>0.36449399656946818</v>
      </c>
      <c r="AR481" s="16">
        <f t="shared" si="379"/>
        <v>0.17152658662092621</v>
      </c>
      <c r="AS481" s="16">
        <f>SUM(AH481:AR481)</f>
        <v>99.999999999999986</v>
      </c>
      <c r="AT481" s="16">
        <f>AL481+0.899*AK481</f>
        <v>13.299957118353342</v>
      </c>
      <c r="AY481" s="46">
        <v>26</v>
      </c>
      <c r="AZ481" s="41"/>
      <c r="BA481" s="48">
        <v>186</v>
      </c>
      <c r="BB481" s="41"/>
      <c r="BC481" s="48">
        <v>68</v>
      </c>
      <c r="BD481" s="41"/>
      <c r="BE481" s="48">
        <v>10</v>
      </c>
      <c r="BF481" s="41"/>
      <c r="BG481" s="48">
        <v>10</v>
      </c>
      <c r="BH481" s="41"/>
      <c r="BI481" s="48">
        <v>15</v>
      </c>
      <c r="BJ481" s="41"/>
      <c r="BK481" s="48">
        <v>125</v>
      </c>
      <c r="BL481" s="41"/>
      <c r="BM481" s="41"/>
      <c r="BN481" s="41"/>
      <c r="BO481" s="48">
        <v>21</v>
      </c>
      <c r="BP481" s="41"/>
      <c r="BQ481" s="48">
        <v>115</v>
      </c>
      <c r="BR481" s="46"/>
      <c r="BS481" s="48">
        <v>39</v>
      </c>
      <c r="BT481" s="41"/>
      <c r="BU481" s="48">
        <v>345</v>
      </c>
      <c r="BV481" s="41"/>
      <c r="BW481" s="48">
        <v>22</v>
      </c>
      <c r="CA481" s="46"/>
      <c r="CB481" s="46"/>
      <c r="CC481" s="46"/>
      <c r="CD481" s="46"/>
      <c r="CE481" s="46"/>
      <c r="CF481" s="46"/>
      <c r="CG481" s="46"/>
      <c r="CH481" s="46"/>
      <c r="CI481" s="46"/>
      <c r="CJ481" s="46"/>
      <c r="CK481" s="46"/>
      <c r="CL481" s="46"/>
      <c r="CM481" s="46"/>
      <c r="CN481" s="46"/>
      <c r="CO481" s="46"/>
      <c r="CP481" s="46"/>
      <c r="CQ481" s="46"/>
      <c r="CR481" s="46">
        <v>20</v>
      </c>
      <c r="CS481" s="46"/>
      <c r="CT481" s="46"/>
    </row>
    <row r="482" spans="1:98">
      <c r="A482" s="1" t="s">
        <v>289</v>
      </c>
      <c r="B482" s="4" t="s">
        <v>290</v>
      </c>
      <c r="C482" s="50" t="s">
        <v>440</v>
      </c>
      <c r="D482" s="63">
        <v>67.22</v>
      </c>
      <c r="E482" s="63">
        <v>2.93</v>
      </c>
      <c r="F482" s="1" t="s">
        <v>309</v>
      </c>
      <c r="G482" s="46" t="s">
        <v>459</v>
      </c>
      <c r="J482" s="38" t="s">
        <v>256</v>
      </c>
      <c r="L482" s="1" t="s">
        <v>514</v>
      </c>
      <c r="M482" s="78" t="s">
        <v>868</v>
      </c>
      <c r="N482" s="78"/>
      <c r="Q482" s="1" t="s">
        <v>312</v>
      </c>
      <c r="R482" s="47">
        <v>60.8</v>
      </c>
      <c r="S482" s="47">
        <v>1.26</v>
      </c>
      <c r="T482" s="47">
        <v>18.3</v>
      </c>
      <c r="U482" s="47">
        <v>0.47</v>
      </c>
      <c r="V482" s="47"/>
      <c r="W482" s="47">
        <v>0.01</v>
      </c>
      <c r="X482" s="47">
        <v>0.11</v>
      </c>
      <c r="Y482" s="47">
        <v>3.14</v>
      </c>
      <c r="Z482" s="47">
        <v>1.98</v>
      </c>
      <c r="AA482" s="47">
        <v>8.6</v>
      </c>
      <c r="AB482" s="47">
        <v>0.28000000000000003</v>
      </c>
      <c r="AC482" s="9">
        <v>4.2300000000000004</v>
      </c>
      <c r="AD482" s="23">
        <f t="shared" si="363"/>
        <v>99.18</v>
      </c>
      <c r="AE482" s="21">
        <f t="shared" si="364"/>
        <v>0.42252999999999996</v>
      </c>
      <c r="AF482" s="23">
        <f t="shared" si="365"/>
        <v>0.31699104388912686</v>
      </c>
      <c r="AH482" s="16">
        <f t="shared" si="366"/>
        <v>64.033701948393883</v>
      </c>
      <c r="AI482" s="16">
        <f t="shared" si="367"/>
        <v>1.3270142180094786</v>
      </c>
      <c r="AJ482" s="16">
        <f t="shared" si="368"/>
        <v>19.273301737756714</v>
      </c>
      <c r="AK482" s="16">
        <f t="shared" si="369"/>
        <v>0.49499736703528169</v>
      </c>
      <c r="AL482" s="16">
        <f t="shared" si="370"/>
        <v>0</v>
      </c>
      <c r="AM482" s="16">
        <f t="shared" si="371"/>
        <v>1.0531858873091101E-2</v>
      </c>
      <c r="AN482" s="16">
        <f t="shared" si="372"/>
        <v>0.11585044760400211</v>
      </c>
      <c r="AO482" s="16">
        <f t="shared" si="373"/>
        <v>3.3070036861506056</v>
      </c>
      <c r="AP482" s="16">
        <f t="shared" si="374"/>
        <v>2.0853080568720377</v>
      </c>
      <c r="AQ482" s="16">
        <f t="shared" si="375"/>
        <v>9.0573986308583461</v>
      </c>
      <c r="AR482" s="16">
        <f t="shared" si="376"/>
        <v>0.29489204844655087</v>
      </c>
      <c r="AS482" s="16">
        <f t="shared" si="377"/>
        <v>100</v>
      </c>
      <c r="AT482" s="16">
        <f t="shared" si="378"/>
        <v>0.44500263296471826</v>
      </c>
      <c r="AY482" s="46"/>
      <c r="AZ482" s="41"/>
      <c r="BA482" s="48"/>
      <c r="BB482" s="41"/>
      <c r="BC482" s="48"/>
      <c r="BD482" s="41"/>
      <c r="BE482" s="48"/>
      <c r="BF482" s="41"/>
      <c r="BG482" s="48"/>
      <c r="BH482" s="41"/>
      <c r="BI482" s="48"/>
      <c r="BJ482" s="41"/>
      <c r="BK482" s="48"/>
      <c r="BL482" s="41"/>
      <c r="BM482" s="41"/>
      <c r="BN482" s="41"/>
      <c r="BO482" s="48"/>
      <c r="BP482" s="41"/>
      <c r="BQ482" s="48"/>
      <c r="BR482" s="46"/>
      <c r="BS482" s="48"/>
      <c r="BT482" s="41"/>
      <c r="BU482" s="48"/>
      <c r="BV482" s="41"/>
      <c r="BW482" s="48">
        <v>22</v>
      </c>
      <c r="CA482" s="46">
        <v>172.26</v>
      </c>
      <c r="CB482" s="46"/>
      <c r="CC482" s="46">
        <v>121.95</v>
      </c>
      <c r="CD482" s="46"/>
      <c r="CE482" s="46">
        <v>56.55</v>
      </c>
      <c r="CF482" s="46">
        <v>12.48</v>
      </c>
      <c r="CG482" s="46">
        <v>1.74</v>
      </c>
      <c r="CH482" s="46"/>
      <c r="CI482" s="46">
        <v>2</v>
      </c>
      <c r="CJ482" s="46"/>
      <c r="CK482" s="46"/>
      <c r="CL482" s="46"/>
      <c r="CM482" s="46"/>
      <c r="CN482" s="46">
        <v>9.06</v>
      </c>
      <c r="CO482" s="46">
        <v>1.27</v>
      </c>
      <c r="CP482" s="46">
        <v>8.2899999999999991</v>
      </c>
      <c r="CQ482" s="46">
        <v>1.37</v>
      </c>
      <c r="CR482" s="46"/>
      <c r="CS482" s="46">
        <v>14.98</v>
      </c>
      <c r="CT482" s="46"/>
    </row>
    <row r="483" spans="1:98">
      <c r="A483" s="1" t="s">
        <v>289</v>
      </c>
      <c r="B483" s="4" t="s">
        <v>290</v>
      </c>
      <c r="C483" s="50" t="s">
        <v>449</v>
      </c>
      <c r="D483" s="63">
        <v>67.22</v>
      </c>
      <c r="E483" s="63">
        <v>2.93</v>
      </c>
      <c r="F483" s="1" t="s">
        <v>309</v>
      </c>
      <c r="G483" s="46" t="s">
        <v>303</v>
      </c>
      <c r="J483" s="38" t="s">
        <v>256</v>
      </c>
      <c r="L483" s="1" t="s">
        <v>514</v>
      </c>
      <c r="M483" s="78" t="s">
        <v>868</v>
      </c>
      <c r="N483" s="78"/>
      <c r="Q483" s="1" t="s">
        <v>312</v>
      </c>
      <c r="R483" s="47">
        <v>59.3</v>
      </c>
      <c r="S483" s="47">
        <v>1.3</v>
      </c>
      <c r="T483" s="47">
        <v>17.899999999999999</v>
      </c>
      <c r="U483" s="47">
        <v>3.15</v>
      </c>
      <c r="V483" s="47"/>
      <c r="W483" s="47">
        <v>0.01</v>
      </c>
      <c r="X483" s="47">
        <v>0.91</v>
      </c>
      <c r="Y483" s="47">
        <v>4.04</v>
      </c>
      <c r="Z483" s="47">
        <v>2.68</v>
      </c>
      <c r="AA483" s="47">
        <v>4.5</v>
      </c>
      <c r="AB483" s="47">
        <v>0.26</v>
      </c>
      <c r="AC483" s="9">
        <v>5.85</v>
      </c>
      <c r="AD483" s="23">
        <f t="shared" si="363"/>
        <v>99.90000000000002</v>
      </c>
      <c r="AE483" s="21">
        <f t="shared" si="364"/>
        <v>2.8318500000000002</v>
      </c>
      <c r="AF483" s="23">
        <f t="shared" si="365"/>
        <v>0.36421982768453948</v>
      </c>
      <c r="AH483" s="16">
        <f t="shared" si="366"/>
        <v>63.05156831472619</v>
      </c>
      <c r="AI483" s="16">
        <f t="shared" si="367"/>
        <v>1.3822434875066449</v>
      </c>
      <c r="AJ483" s="16">
        <f t="shared" si="368"/>
        <v>19.032429558745342</v>
      </c>
      <c r="AK483" s="16">
        <f t="shared" si="369"/>
        <v>3.349282296650717</v>
      </c>
      <c r="AL483" s="16">
        <f t="shared" si="370"/>
        <v>0</v>
      </c>
      <c r="AM483" s="16">
        <f t="shared" si="371"/>
        <v>1.0632642211589577E-2</v>
      </c>
      <c r="AN483" s="16">
        <f t="shared" si="372"/>
        <v>0.96757044125465153</v>
      </c>
      <c r="AO483" s="16">
        <f t="shared" si="373"/>
        <v>4.295587453482189</v>
      </c>
      <c r="AP483" s="16">
        <f t="shared" si="374"/>
        <v>2.8495481127060067</v>
      </c>
      <c r="AQ483" s="16">
        <f t="shared" si="375"/>
        <v>4.7846889952153093</v>
      </c>
      <c r="AR483" s="16">
        <f t="shared" si="376"/>
        <v>0.276448697501329</v>
      </c>
      <c r="AS483" s="16">
        <f t="shared" si="377"/>
        <v>99.999999999999957</v>
      </c>
      <c r="AT483" s="16">
        <f t="shared" si="378"/>
        <v>3.0110047846889945</v>
      </c>
      <c r="AY483" s="46"/>
      <c r="AZ483" s="41"/>
      <c r="BA483" s="48"/>
      <c r="BB483" s="41"/>
      <c r="BC483" s="48"/>
      <c r="BD483" s="41"/>
      <c r="BE483" s="48"/>
      <c r="BF483" s="41"/>
      <c r="BG483" s="48"/>
      <c r="BH483" s="41"/>
      <c r="BI483" s="48"/>
      <c r="BJ483" s="41"/>
      <c r="BK483" s="48"/>
      <c r="BL483" s="41"/>
      <c r="BM483" s="41"/>
      <c r="BN483" s="41"/>
      <c r="BO483" s="48"/>
      <c r="BP483" s="41"/>
      <c r="BQ483" s="48"/>
      <c r="BR483" s="46"/>
      <c r="BS483" s="48"/>
      <c r="BT483" s="41"/>
      <c r="BU483" s="48"/>
      <c r="BV483" s="41"/>
      <c r="BW483" s="48"/>
      <c r="CA483" s="46">
        <v>161.76</v>
      </c>
      <c r="CB483" s="46"/>
      <c r="CC483" s="46">
        <v>119.84</v>
      </c>
      <c r="CD483" s="46"/>
      <c r="CE483" s="46">
        <v>54.63</v>
      </c>
      <c r="CF483" s="46">
        <v>11.21</v>
      </c>
      <c r="CG483" s="46">
        <v>1.84</v>
      </c>
      <c r="CH483" s="46">
        <v>10.99</v>
      </c>
      <c r="CI483" s="46">
        <v>1.69</v>
      </c>
      <c r="CJ483" s="46"/>
      <c r="CK483" s="46"/>
      <c r="CL483" s="46"/>
      <c r="CM483" s="46"/>
      <c r="CN483" s="46">
        <v>8.0399999999999991</v>
      </c>
      <c r="CO483" s="46">
        <v>1.19</v>
      </c>
      <c r="CP483" s="46">
        <v>7.98</v>
      </c>
      <c r="CQ483" s="46">
        <v>1.34</v>
      </c>
      <c r="CR483" s="46"/>
      <c r="CS483" s="46">
        <v>15.02</v>
      </c>
      <c r="CT483" s="46"/>
    </row>
    <row r="484" spans="1:98">
      <c r="A484" s="1" t="s">
        <v>289</v>
      </c>
      <c r="B484" s="4" t="s">
        <v>290</v>
      </c>
      <c r="C484" s="50" t="s">
        <v>456</v>
      </c>
      <c r="D484" s="63">
        <v>67.22</v>
      </c>
      <c r="E484" s="63">
        <v>2.93</v>
      </c>
      <c r="F484" s="1" t="s">
        <v>309</v>
      </c>
      <c r="G484" s="46" t="s">
        <v>303</v>
      </c>
      <c r="J484" s="38" t="s">
        <v>256</v>
      </c>
      <c r="L484" s="1" t="s">
        <v>514</v>
      </c>
      <c r="M484" s="78" t="s">
        <v>868</v>
      </c>
      <c r="N484" s="78"/>
      <c r="Q484" s="1" t="s">
        <v>312</v>
      </c>
      <c r="R484" s="47">
        <v>54.5</v>
      </c>
      <c r="S484" s="47">
        <v>1.29</v>
      </c>
      <c r="T484" s="47">
        <v>16</v>
      </c>
      <c r="U484" s="47">
        <v>9.09</v>
      </c>
      <c r="V484" s="47"/>
      <c r="W484" s="47">
        <v>0.04</v>
      </c>
      <c r="X484" s="47">
        <v>2.76</v>
      </c>
      <c r="Y484" s="47">
        <v>4.41</v>
      </c>
      <c r="Z484" s="47">
        <v>2.4900000000000002</v>
      </c>
      <c r="AA484" s="47">
        <v>0.37</v>
      </c>
      <c r="AB484" s="47">
        <v>0.22</v>
      </c>
      <c r="AC484" s="9">
        <v>8.23</v>
      </c>
      <c r="AD484" s="23">
        <f t="shared" si="363"/>
        <v>99.4</v>
      </c>
      <c r="AE484" s="21">
        <f t="shared" si="364"/>
        <v>8.1719100000000005</v>
      </c>
      <c r="AF484" s="23">
        <f t="shared" si="365"/>
        <v>0.37582050007132728</v>
      </c>
      <c r="AH484" s="16">
        <f t="shared" si="366"/>
        <v>59.778435888998573</v>
      </c>
      <c r="AI484" s="16">
        <f t="shared" si="367"/>
        <v>1.4149391247120764</v>
      </c>
      <c r="AJ484" s="16">
        <f t="shared" si="368"/>
        <v>17.549632554568387</v>
      </c>
      <c r="AK484" s="16">
        <f t="shared" si="369"/>
        <v>9.9703849950641654</v>
      </c>
      <c r="AL484" s="16">
        <f t="shared" si="370"/>
        <v>0</v>
      </c>
      <c r="AM484" s="16">
        <f t="shared" si="371"/>
        <v>4.3874081386420974E-2</v>
      </c>
      <c r="AN484" s="16">
        <f t="shared" si="372"/>
        <v>3.0273116156630469</v>
      </c>
      <c r="AO484" s="16">
        <f t="shared" si="373"/>
        <v>4.8371174728529125</v>
      </c>
      <c r="AP484" s="16">
        <f t="shared" si="374"/>
        <v>2.731161566304706</v>
      </c>
      <c r="AQ484" s="16">
        <f t="shared" si="375"/>
        <v>0.40583525282439398</v>
      </c>
      <c r="AR484" s="16">
        <f t="shared" si="376"/>
        <v>0.24130744762531534</v>
      </c>
      <c r="AS484" s="16">
        <f t="shared" si="377"/>
        <v>100</v>
      </c>
      <c r="AT484" s="16">
        <f t="shared" si="378"/>
        <v>8.9633761105626846</v>
      </c>
      <c r="AY484" s="46"/>
      <c r="AZ484" s="41"/>
      <c r="BA484" s="48"/>
      <c r="BB484" s="41"/>
      <c r="BC484" s="48"/>
      <c r="BD484" s="41"/>
      <c r="BE484" s="48"/>
      <c r="BF484" s="41"/>
      <c r="BG484" s="48"/>
      <c r="BH484" s="41"/>
      <c r="BI484" s="48"/>
      <c r="BJ484" s="41"/>
      <c r="BK484" s="48"/>
      <c r="BL484" s="41"/>
      <c r="BM484" s="41"/>
      <c r="BN484" s="41"/>
      <c r="BO484" s="48"/>
      <c r="BP484" s="41"/>
      <c r="BQ484" s="48"/>
      <c r="BR484" s="46"/>
      <c r="BS484" s="48"/>
      <c r="BT484" s="41"/>
      <c r="BU484" s="48"/>
      <c r="BV484" s="41"/>
      <c r="BW484" s="48"/>
      <c r="CA484" s="46">
        <v>128.37</v>
      </c>
      <c r="CB484" s="46"/>
      <c r="CC484" s="46">
        <v>88.14</v>
      </c>
      <c r="CD484" s="46"/>
      <c r="CE484" s="46">
        <v>42.56</v>
      </c>
      <c r="CF484" s="46">
        <v>10.36</v>
      </c>
      <c r="CG484" s="46">
        <v>1.43</v>
      </c>
      <c r="CH484" s="46"/>
      <c r="CI484" s="46">
        <v>1.29</v>
      </c>
      <c r="CJ484" s="46"/>
      <c r="CK484" s="46"/>
      <c r="CL484" s="46"/>
      <c r="CM484" s="46"/>
      <c r="CN484" s="46">
        <v>4.8600000000000003</v>
      </c>
      <c r="CO484" s="46">
        <v>0.71</v>
      </c>
      <c r="CP484" s="46">
        <v>7.36</v>
      </c>
      <c r="CQ484" s="46">
        <v>1.2</v>
      </c>
      <c r="CR484" s="46"/>
      <c r="CS484" s="46">
        <v>13.65</v>
      </c>
      <c r="CT484" s="46"/>
    </row>
    <row r="485" spans="1:98">
      <c r="A485" s="1" t="s">
        <v>289</v>
      </c>
      <c r="B485" s="4" t="s">
        <v>290</v>
      </c>
      <c r="C485" s="50" t="s">
        <v>444</v>
      </c>
      <c r="D485" s="63">
        <v>67.22</v>
      </c>
      <c r="E485" s="63">
        <v>2.93</v>
      </c>
      <c r="F485" s="1" t="s">
        <v>309</v>
      </c>
      <c r="G485" s="46" t="s">
        <v>303</v>
      </c>
      <c r="J485" s="38" t="s">
        <v>256</v>
      </c>
      <c r="L485" s="1" t="s">
        <v>514</v>
      </c>
      <c r="M485" s="78" t="s">
        <v>868</v>
      </c>
      <c r="N485" s="78"/>
      <c r="Q485" s="1" t="s">
        <v>312</v>
      </c>
      <c r="R485" s="47">
        <v>60</v>
      </c>
      <c r="S485" s="47">
        <v>1.1200000000000001</v>
      </c>
      <c r="T485" s="47">
        <v>13.9</v>
      </c>
      <c r="U485" s="47">
        <v>8.83</v>
      </c>
      <c r="V485" s="47"/>
      <c r="W485" s="47">
        <v>0.14000000000000001</v>
      </c>
      <c r="X485" s="47">
        <v>1.66</v>
      </c>
      <c r="Y485" s="47">
        <v>1.19</v>
      </c>
      <c r="Z485" s="47">
        <v>3.08</v>
      </c>
      <c r="AA485" s="47">
        <v>0.19</v>
      </c>
      <c r="AB485" s="47">
        <v>0.19</v>
      </c>
      <c r="AC485" s="9">
        <v>5.08</v>
      </c>
      <c r="AD485" s="23">
        <f>SUM(R485:AB485)+AC485</f>
        <v>95.379999999999981</v>
      </c>
      <c r="AE485" s="21">
        <f>V485+0.899*U485</f>
        <v>7.9381700000000004</v>
      </c>
      <c r="AF485" s="23">
        <f>(X485/40.3)/((X485/40.3)+(AE485/71.844))</f>
        <v>0.27156051765012867</v>
      </c>
      <c r="AH485" s="16">
        <f t="shared" ref="AH485:AR486" si="380">100*R485/SUM($R485:$AB485)</f>
        <v>66.445182724252504</v>
      </c>
      <c r="AI485" s="16">
        <f t="shared" si="380"/>
        <v>1.2403100775193803</v>
      </c>
      <c r="AJ485" s="16">
        <f t="shared" si="380"/>
        <v>15.393133997785164</v>
      </c>
      <c r="AK485" s="16">
        <f t="shared" si="380"/>
        <v>9.7785160575858274</v>
      </c>
      <c r="AL485" s="16">
        <f t="shared" si="380"/>
        <v>0</v>
      </c>
      <c r="AM485" s="16">
        <f t="shared" si="380"/>
        <v>0.15503875968992253</v>
      </c>
      <c r="AN485" s="16">
        <f t="shared" si="380"/>
        <v>1.8383167220376526</v>
      </c>
      <c r="AO485" s="16">
        <f t="shared" si="380"/>
        <v>1.3178294573643414</v>
      </c>
      <c r="AP485" s="16">
        <f t="shared" si="380"/>
        <v>3.4108527131782953</v>
      </c>
      <c r="AQ485" s="16">
        <f t="shared" si="380"/>
        <v>0.21040974529346626</v>
      </c>
      <c r="AR485" s="16">
        <f t="shared" si="380"/>
        <v>0.21040974529346626</v>
      </c>
      <c r="AS485" s="16">
        <f>SUM(AH485:AR485)</f>
        <v>100</v>
      </c>
      <c r="AT485" s="16">
        <f>AL485+0.899*AK485</f>
        <v>8.7908859357696585</v>
      </c>
      <c r="AY485" s="46"/>
      <c r="AZ485" s="41"/>
      <c r="BA485" s="48"/>
      <c r="BB485" s="41"/>
      <c r="BC485" s="48"/>
      <c r="BD485" s="41"/>
      <c r="BE485" s="48"/>
      <c r="BF485" s="41"/>
      <c r="BG485" s="48"/>
      <c r="BH485" s="41"/>
      <c r="BI485" s="48"/>
      <c r="BJ485" s="41"/>
      <c r="BK485" s="48"/>
      <c r="BL485" s="41"/>
      <c r="BM485" s="41"/>
      <c r="BN485" s="41"/>
      <c r="BO485" s="48"/>
      <c r="BP485" s="41"/>
      <c r="BQ485" s="48"/>
      <c r="BR485" s="46"/>
      <c r="BS485" s="48"/>
      <c r="BT485" s="41"/>
      <c r="BU485" s="48"/>
      <c r="BV485" s="41"/>
      <c r="BW485" s="48"/>
      <c r="CA485" s="46">
        <v>374.64</v>
      </c>
      <c r="CB485" s="46"/>
      <c r="CC485" s="46">
        <v>86.2</v>
      </c>
      <c r="CD485" s="46"/>
      <c r="CE485" s="46">
        <v>39.799999999999997</v>
      </c>
      <c r="CF485" s="46">
        <v>9.2200000000000006</v>
      </c>
      <c r="CG485" s="46">
        <v>1.35</v>
      </c>
      <c r="CH485" s="46"/>
      <c r="CI485" s="46">
        <v>1.1599999999999999</v>
      </c>
      <c r="CJ485" s="46"/>
      <c r="CK485" s="46"/>
      <c r="CL485" s="46"/>
      <c r="CM485" s="46"/>
      <c r="CN485" s="46">
        <v>4.58</v>
      </c>
      <c r="CO485" s="46">
        <v>0.67</v>
      </c>
      <c r="CP485" s="46">
        <v>6.74</v>
      </c>
      <c r="CQ485" s="46">
        <v>1.1100000000000001</v>
      </c>
      <c r="CR485" s="46"/>
      <c r="CS485" s="46">
        <v>12.17</v>
      </c>
      <c r="CT485" s="46"/>
    </row>
    <row r="486" spans="1:98">
      <c r="A486" s="1" t="s">
        <v>289</v>
      </c>
      <c r="B486" s="4" t="s">
        <v>290</v>
      </c>
      <c r="C486" s="50" t="s">
        <v>438</v>
      </c>
      <c r="D486" s="63">
        <v>67.22</v>
      </c>
      <c r="E486" s="63">
        <v>2.93</v>
      </c>
      <c r="F486" s="1" t="s">
        <v>309</v>
      </c>
      <c r="G486" s="46" t="s">
        <v>303</v>
      </c>
      <c r="J486" s="38" t="s">
        <v>256</v>
      </c>
      <c r="L486" s="1" t="s">
        <v>514</v>
      </c>
      <c r="M486" s="78" t="s">
        <v>868</v>
      </c>
      <c r="N486" s="78"/>
      <c r="Q486" s="1" t="s">
        <v>312</v>
      </c>
      <c r="R486" s="47">
        <v>61.9</v>
      </c>
      <c r="S486" s="47">
        <v>1.24</v>
      </c>
      <c r="T486" s="47">
        <v>14.2</v>
      </c>
      <c r="U486" s="47">
        <v>9.24</v>
      </c>
      <c r="V486" s="47"/>
      <c r="W486" s="47">
        <v>0.15</v>
      </c>
      <c r="X486" s="47">
        <v>1.98</v>
      </c>
      <c r="Y486" s="47">
        <v>3.39</v>
      </c>
      <c r="Z486" s="47">
        <v>3.13</v>
      </c>
      <c r="AA486" s="47">
        <v>1.05</v>
      </c>
      <c r="AB486" s="47">
        <v>0.19</v>
      </c>
      <c r="AC486" s="9">
        <v>2.83</v>
      </c>
      <c r="AD486" s="23">
        <f>SUM(R486:AB486)+AC486</f>
        <v>99.3</v>
      </c>
      <c r="AE486" s="21">
        <f>V486+0.899*U486</f>
        <v>8.3067600000000006</v>
      </c>
      <c r="AF486" s="23">
        <f>(X486/40.3)/((X486/40.3)+(AE486/71.844))</f>
        <v>0.29821190739010206</v>
      </c>
      <c r="AH486" s="16">
        <f t="shared" si="380"/>
        <v>64.165025396496318</v>
      </c>
      <c r="AI486" s="16">
        <f t="shared" si="380"/>
        <v>1.2853736913029958</v>
      </c>
      <c r="AJ486" s="16">
        <f t="shared" si="380"/>
        <v>14.719601948792372</v>
      </c>
      <c r="AK486" s="16">
        <f t="shared" si="380"/>
        <v>9.5781071835803875</v>
      </c>
      <c r="AL486" s="16">
        <f t="shared" si="380"/>
        <v>0</v>
      </c>
      <c r="AM486" s="16">
        <f t="shared" si="380"/>
        <v>0.15548875298020109</v>
      </c>
      <c r="AN486" s="16">
        <f t="shared" si="380"/>
        <v>2.0524515393386547</v>
      </c>
      <c r="AO486" s="16">
        <f t="shared" si="380"/>
        <v>3.5140458173525451</v>
      </c>
      <c r="AP486" s="16">
        <f t="shared" si="380"/>
        <v>3.2445319788535296</v>
      </c>
      <c r="AQ486" s="16">
        <f t="shared" si="380"/>
        <v>1.0884212708614076</v>
      </c>
      <c r="AR486" s="16">
        <f t="shared" si="380"/>
        <v>0.19695242044158806</v>
      </c>
      <c r="AS486" s="16">
        <f>SUM(AH486:AR486)</f>
        <v>99.999999999999986</v>
      </c>
      <c r="AT486" s="16">
        <f>AL486+0.899*AK486</f>
        <v>8.6107183580387687</v>
      </c>
      <c r="AY486" s="46">
        <v>26</v>
      </c>
      <c r="AZ486" s="41"/>
      <c r="BA486" s="48">
        <v>165</v>
      </c>
      <c r="BB486" s="41"/>
      <c r="BC486" s="48">
        <v>63</v>
      </c>
      <c r="BD486" s="41"/>
      <c r="BE486" s="48">
        <v>16</v>
      </c>
      <c r="BF486" s="41"/>
      <c r="BG486" s="48">
        <v>10</v>
      </c>
      <c r="BH486" s="41"/>
      <c r="BI486" s="48">
        <v>15</v>
      </c>
      <c r="BJ486" s="41"/>
      <c r="BK486" s="48">
        <v>112</v>
      </c>
      <c r="BL486" s="41"/>
      <c r="BM486" s="41"/>
      <c r="BN486" s="41"/>
      <c r="BO486" s="48">
        <v>91</v>
      </c>
      <c r="BP486" s="41"/>
      <c r="BQ486" s="48">
        <v>183</v>
      </c>
      <c r="BR486" s="48"/>
      <c r="BS486" s="48">
        <v>42</v>
      </c>
      <c r="BT486" s="41"/>
      <c r="BU486" s="48">
        <v>292</v>
      </c>
      <c r="BV486" s="41"/>
      <c r="BW486" s="48">
        <v>20</v>
      </c>
      <c r="CA486" s="46"/>
      <c r="CB486" s="46">
        <v>36.4</v>
      </c>
      <c r="CC486" s="46">
        <v>91.7</v>
      </c>
      <c r="CD486" s="46"/>
      <c r="CE486" s="46">
        <v>41.9</v>
      </c>
      <c r="CF486" s="46">
        <v>7.98</v>
      </c>
      <c r="CG486" s="46">
        <v>1.39</v>
      </c>
      <c r="CH486" s="46"/>
      <c r="CI486" s="46">
        <v>1.41</v>
      </c>
      <c r="CJ486" s="46"/>
      <c r="CK486" s="46">
        <v>5.18</v>
      </c>
      <c r="CL486" s="46"/>
      <c r="CM486" s="46"/>
      <c r="CN486" s="46">
        <v>5.24</v>
      </c>
      <c r="CO486" s="46">
        <v>0.65</v>
      </c>
      <c r="CP486" s="46">
        <v>7.37</v>
      </c>
      <c r="CQ486" s="46">
        <v>1.22</v>
      </c>
      <c r="CR486" s="46">
        <v>12</v>
      </c>
      <c r="CS486" s="46">
        <v>12.5</v>
      </c>
      <c r="CT486" s="46">
        <v>2.8</v>
      </c>
    </row>
    <row r="487" spans="1:98">
      <c r="A487" s="1" t="s">
        <v>289</v>
      </c>
      <c r="B487" s="4" t="s">
        <v>290</v>
      </c>
      <c r="C487" s="40" t="s">
        <v>716</v>
      </c>
      <c r="D487" s="63">
        <v>67.22</v>
      </c>
      <c r="E487" s="63">
        <v>2.93</v>
      </c>
      <c r="F487" s="1" t="s">
        <v>309</v>
      </c>
      <c r="G487" s="40" t="s">
        <v>124</v>
      </c>
      <c r="H487" s="40"/>
      <c r="I487" s="39"/>
      <c r="J487" s="40" t="s">
        <v>256</v>
      </c>
      <c r="K487" s="40"/>
      <c r="L487" s="4" t="s">
        <v>423</v>
      </c>
      <c r="M487" s="78" t="s">
        <v>867</v>
      </c>
      <c r="N487" s="78"/>
      <c r="P487" s="4"/>
      <c r="Q487" s="4"/>
      <c r="R487" s="4">
        <v>53.2</v>
      </c>
      <c r="S487" s="4">
        <v>1.88</v>
      </c>
      <c r="T487" s="4">
        <v>20.48</v>
      </c>
      <c r="U487" s="4">
        <v>11.07</v>
      </c>
      <c r="W487" s="4">
        <v>0.08</v>
      </c>
      <c r="X487" s="4">
        <v>2.21</v>
      </c>
      <c r="Y487" s="4">
        <v>5.97</v>
      </c>
      <c r="Z487" s="4">
        <v>3.48</v>
      </c>
      <c r="AA487" s="4">
        <v>1.6</v>
      </c>
      <c r="AB487" s="4">
        <v>0.38</v>
      </c>
      <c r="AD487" s="23">
        <f t="shared" si="363"/>
        <v>100.34999999999998</v>
      </c>
      <c r="AE487" s="21">
        <f t="shared" si="364"/>
        <v>9.9519300000000008</v>
      </c>
      <c r="AF487" s="23">
        <f t="shared" si="365"/>
        <v>0.28360924876736532</v>
      </c>
      <c r="AG487" s="45"/>
      <c r="AH487" s="16">
        <f t="shared" si="366"/>
        <v>53.014449427005488</v>
      </c>
      <c r="AI487" s="16">
        <f t="shared" si="367"/>
        <v>1.873442949676134</v>
      </c>
      <c r="AJ487" s="16">
        <f t="shared" si="368"/>
        <v>20.408570004982565</v>
      </c>
      <c r="AK487" s="16">
        <f t="shared" si="369"/>
        <v>11.031390134529151</v>
      </c>
      <c r="AL487" s="16">
        <f t="shared" si="370"/>
        <v>0</v>
      </c>
      <c r="AM487" s="16">
        <f t="shared" si="371"/>
        <v>7.9720976581963143E-2</v>
      </c>
      <c r="AN487" s="16">
        <f t="shared" si="372"/>
        <v>2.2022919780767318</v>
      </c>
      <c r="AO487" s="16">
        <f t="shared" si="373"/>
        <v>5.9491778774289994</v>
      </c>
      <c r="AP487" s="16">
        <f t="shared" si="374"/>
        <v>3.4678624813153966</v>
      </c>
      <c r="AQ487" s="16">
        <f t="shared" si="375"/>
        <v>1.5944195316392629</v>
      </c>
      <c r="AR487" s="16">
        <f t="shared" si="376"/>
        <v>0.37867463876432494</v>
      </c>
      <c r="AS487" s="16">
        <f t="shared" si="377"/>
        <v>100</v>
      </c>
      <c r="AT487" s="16">
        <f t="shared" si="378"/>
        <v>9.9172197309417065</v>
      </c>
      <c r="AU487" s="45"/>
      <c r="AV487" s="4"/>
      <c r="AY487" s="39"/>
      <c r="BS487" s="39"/>
      <c r="BT487" s="39"/>
      <c r="BU487" s="39"/>
      <c r="BV487" s="39"/>
      <c r="BW487" s="39"/>
      <c r="CA487" s="39"/>
      <c r="CB487" s="39"/>
      <c r="CC487" s="39"/>
      <c r="CD487" s="39"/>
      <c r="CE487" s="39"/>
      <c r="CF487" s="39"/>
      <c r="CG487" s="39"/>
      <c r="CH487" s="39"/>
      <c r="CI487" s="39"/>
      <c r="CJ487" s="39"/>
      <c r="CK487" s="39"/>
      <c r="CL487" s="39"/>
      <c r="CM487" s="39"/>
      <c r="CN487" s="39"/>
      <c r="CO487" s="39"/>
      <c r="CP487" s="39"/>
      <c r="CQ487" s="39"/>
      <c r="CR487" s="39"/>
      <c r="CS487" s="39"/>
      <c r="CT487" s="39"/>
    </row>
    <row r="488" spans="1:98">
      <c r="A488" s="1" t="s">
        <v>289</v>
      </c>
      <c r="B488" s="4" t="s">
        <v>290</v>
      </c>
      <c r="C488" s="50" t="s">
        <v>441</v>
      </c>
      <c r="D488" s="63">
        <v>67.22</v>
      </c>
      <c r="E488" s="63">
        <v>2.93</v>
      </c>
      <c r="F488" s="1" t="s">
        <v>309</v>
      </c>
      <c r="G488" s="46" t="s">
        <v>302</v>
      </c>
      <c r="J488" s="38" t="s">
        <v>256</v>
      </c>
      <c r="L488" s="1" t="s">
        <v>514</v>
      </c>
      <c r="M488" s="78" t="s">
        <v>868</v>
      </c>
      <c r="N488" s="78"/>
      <c r="Q488" s="1" t="s">
        <v>312</v>
      </c>
      <c r="R488" s="47">
        <v>59.1</v>
      </c>
      <c r="S488" s="47">
        <v>1.37</v>
      </c>
      <c r="T488" s="47">
        <v>17.3</v>
      </c>
      <c r="U488" s="47">
        <v>5.03</v>
      </c>
      <c r="V488" s="47"/>
      <c r="W488" s="47">
        <v>0.11</v>
      </c>
      <c r="X488" s="47">
        <v>1.23</v>
      </c>
      <c r="Y488" s="47">
        <v>4.6399999999999997</v>
      </c>
      <c r="Z488" s="47">
        <v>2.88</v>
      </c>
      <c r="AA488" s="47">
        <v>2.64</v>
      </c>
      <c r="AB488" s="47">
        <v>0.16</v>
      </c>
      <c r="AC488" s="9">
        <v>4.62</v>
      </c>
      <c r="AD488" s="23">
        <f t="shared" si="363"/>
        <v>99.08</v>
      </c>
      <c r="AE488" s="21">
        <f t="shared" si="364"/>
        <v>4.5219700000000005</v>
      </c>
      <c r="AF488" s="23">
        <f t="shared" si="365"/>
        <v>0.32655939929766836</v>
      </c>
      <c r="AH488" s="16">
        <f t="shared" si="366"/>
        <v>62.566165572729204</v>
      </c>
      <c r="AI488" s="16">
        <f t="shared" si="367"/>
        <v>1.4503493542240102</v>
      </c>
      <c r="AJ488" s="16">
        <f t="shared" si="368"/>
        <v>18.314630531441882</v>
      </c>
      <c r="AK488" s="16">
        <f t="shared" si="369"/>
        <v>5.3250052932458187</v>
      </c>
      <c r="AL488" s="16">
        <f t="shared" si="370"/>
        <v>0</v>
      </c>
      <c r="AM488" s="16">
        <f t="shared" si="371"/>
        <v>0.11645140800338769</v>
      </c>
      <c r="AN488" s="16">
        <f t="shared" si="372"/>
        <v>1.3021384713106077</v>
      </c>
      <c r="AO488" s="16">
        <f t="shared" si="373"/>
        <v>4.9121321194156256</v>
      </c>
      <c r="AP488" s="16">
        <f t="shared" si="374"/>
        <v>3.048909591361423</v>
      </c>
      <c r="AQ488" s="16">
        <f t="shared" si="375"/>
        <v>2.7948337920813042</v>
      </c>
      <c r="AR488" s="16">
        <f t="shared" si="376"/>
        <v>0.16938386618674572</v>
      </c>
      <c r="AS488" s="16">
        <f t="shared" si="377"/>
        <v>100.00000000000003</v>
      </c>
      <c r="AT488" s="16">
        <f t="shared" si="378"/>
        <v>4.7871797586279907</v>
      </c>
      <c r="AY488" s="46"/>
      <c r="AZ488" s="41"/>
      <c r="BA488" s="48"/>
      <c r="BB488" s="41"/>
      <c r="BC488" s="48"/>
      <c r="BD488" s="41"/>
      <c r="BE488" s="48"/>
      <c r="BF488" s="41"/>
      <c r="BG488" s="48"/>
      <c r="BH488" s="41"/>
      <c r="BI488" s="48"/>
      <c r="BJ488" s="41"/>
      <c r="BK488" s="48"/>
      <c r="BL488" s="41"/>
      <c r="BM488" s="41"/>
      <c r="BN488" s="41"/>
      <c r="BO488" s="48"/>
      <c r="BP488" s="41"/>
      <c r="BQ488" s="48"/>
      <c r="BR488" s="46"/>
      <c r="BS488" s="48"/>
      <c r="BT488" s="41"/>
      <c r="BU488" s="48"/>
      <c r="BV488" s="41"/>
      <c r="BW488" s="48">
        <v>20</v>
      </c>
      <c r="CA488" s="46"/>
      <c r="CB488" s="46"/>
      <c r="CC488" s="46">
        <v>87.35</v>
      </c>
      <c r="CD488" s="46"/>
      <c r="CE488" s="46">
        <v>37.69</v>
      </c>
      <c r="CF488" s="46">
        <v>7.95</v>
      </c>
      <c r="CG488" s="46">
        <v>1.66</v>
      </c>
      <c r="CH488" s="46"/>
      <c r="CI488" s="46">
        <v>1.03</v>
      </c>
      <c r="CJ488" s="46"/>
      <c r="CK488" s="46"/>
      <c r="CL488" s="46"/>
      <c r="CM488" s="46"/>
      <c r="CN488" s="46">
        <v>5.55</v>
      </c>
      <c r="CO488" s="46">
        <v>0.76</v>
      </c>
      <c r="CP488" s="46">
        <v>8.7100000000000009</v>
      </c>
      <c r="CQ488" s="46">
        <v>1.82</v>
      </c>
      <c r="CR488" s="46"/>
      <c r="CS488" s="46">
        <v>16.32</v>
      </c>
      <c r="CT488" s="46"/>
    </row>
    <row r="489" spans="1:98">
      <c r="A489" s="1" t="s">
        <v>289</v>
      </c>
      <c r="B489" s="4" t="s">
        <v>290</v>
      </c>
      <c r="C489" s="50" t="s">
        <v>434</v>
      </c>
      <c r="D489" s="63">
        <v>67.22</v>
      </c>
      <c r="E489" s="63">
        <v>2.93</v>
      </c>
      <c r="F489" s="1" t="s">
        <v>309</v>
      </c>
      <c r="G489" s="46" t="s">
        <v>302</v>
      </c>
      <c r="J489" s="38" t="s">
        <v>256</v>
      </c>
      <c r="L489" s="1" t="s">
        <v>514</v>
      </c>
      <c r="M489" s="78" t="s">
        <v>868</v>
      </c>
      <c r="N489" s="78"/>
      <c r="Q489" s="1" t="s">
        <v>312</v>
      </c>
      <c r="R489" s="47">
        <v>60</v>
      </c>
      <c r="S489" s="47">
        <v>1.26</v>
      </c>
      <c r="T489" s="47">
        <v>15.3</v>
      </c>
      <c r="U489" s="47">
        <v>9.52</v>
      </c>
      <c r="V489" s="47"/>
      <c r="W489" s="47">
        <v>0.16</v>
      </c>
      <c r="X489" s="47">
        <v>2.08</v>
      </c>
      <c r="Y489" s="47">
        <v>3.99</v>
      </c>
      <c r="Z489" s="47">
        <v>2.88</v>
      </c>
      <c r="AA489" s="47">
        <v>0.63</v>
      </c>
      <c r="AB489" s="47">
        <v>0.23</v>
      </c>
      <c r="AC489" s="9">
        <v>3.16</v>
      </c>
      <c r="AD489" s="23">
        <f t="shared" si="363"/>
        <v>99.20999999999998</v>
      </c>
      <c r="AE489" s="21">
        <f t="shared" si="364"/>
        <v>8.5584799999999994</v>
      </c>
      <c r="AF489" s="23">
        <f t="shared" si="365"/>
        <v>0.30229161227452728</v>
      </c>
      <c r="AH489" s="16">
        <f t="shared" si="366"/>
        <v>62.467464862051024</v>
      </c>
      <c r="AI489" s="16">
        <f t="shared" si="367"/>
        <v>1.3118167621030716</v>
      </c>
      <c r="AJ489" s="16">
        <f t="shared" si="368"/>
        <v>15.929203539823012</v>
      </c>
      <c r="AK489" s="16">
        <f t="shared" si="369"/>
        <v>9.9115044247787623</v>
      </c>
      <c r="AL489" s="16">
        <f t="shared" si="370"/>
        <v>0</v>
      </c>
      <c r="AM489" s="16">
        <f t="shared" si="371"/>
        <v>0.16657990629880273</v>
      </c>
      <c r="AN489" s="16">
        <f t="shared" si="372"/>
        <v>2.1655387818844356</v>
      </c>
      <c r="AO489" s="16">
        <f t="shared" si="373"/>
        <v>4.1540864133263931</v>
      </c>
      <c r="AP489" s="16">
        <f t="shared" si="374"/>
        <v>2.9984383133784491</v>
      </c>
      <c r="AQ489" s="16">
        <f t="shared" si="375"/>
        <v>0.65590838105153582</v>
      </c>
      <c r="AR489" s="16">
        <f t="shared" si="376"/>
        <v>0.23945861530452894</v>
      </c>
      <c r="AS489" s="16">
        <f t="shared" si="377"/>
        <v>100</v>
      </c>
      <c r="AT489" s="16">
        <f t="shared" si="378"/>
        <v>8.9104424778761082</v>
      </c>
      <c r="AY489" s="46">
        <v>29</v>
      </c>
      <c r="AZ489" s="41"/>
      <c r="BA489" s="48">
        <v>166</v>
      </c>
      <c r="BB489" s="41"/>
      <c r="BC489" s="48">
        <v>61</v>
      </c>
      <c r="BD489" s="41"/>
      <c r="BE489" s="48">
        <v>15</v>
      </c>
      <c r="BF489" s="41"/>
      <c r="BG489" s="48">
        <v>14</v>
      </c>
      <c r="BH489" s="41"/>
      <c r="BI489" s="48">
        <v>16</v>
      </c>
      <c r="BJ489" s="41"/>
      <c r="BK489" s="48">
        <v>122</v>
      </c>
      <c r="BL489" s="41"/>
      <c r="BM489" s="41"/>
      <c r="BN489" s="41"/>
      <c r="BO489" s="48">
        <v>54</v>
      </c>
      <c r="BP489" s="41"/>
      <c r="BQ489" s="48">
        <v>213</v>
      </c>
      <c r="BR489" s="48"/>
      <c r="BS489" s="48">
        <v>47</v>
      </c>
      <c r="BT489" s="41"/>
      <c r="BU489" s="48">
        <v>306</v>
      </c>
      <c r="BV489" s="41"/>
      <c r="BW489" s="48">
        <v>20</v>
      </c>
      <c r="CA489" s="46"/>
      <c r="CB489" s="46">
        <v>53.6</v>
      </c>
      <c r="CC489" s="46">
        <v>129</v>
      </c>
      <c r="CD489" s="46"/>
      <c r="CE489" s="46">
        <v>56.4</v>
      </c>
      <c r="CF489" s="46">
        <v>11.1</v>
      </c>
      <c r="CG489" s="46">
        <v>1.72</v>
      </c>
      <c r="CH489" s="46"/>
      <c r="CI489" s="46">
        <v>1.61</v>
      </c>
      <c r="CJ489" s="46"/>
      <c r="CK489" s="46"/>
      <c r="CL489" s="46"/>
      <c r="CM489" s="46"/>
      <c r="CN489" s="46">
        <v>5.0599999999999996</v>
      </c>
      <c r="CO489" s="46">
        <v>0.83</v>
      </c>
      <c r="CP489" s="46">
        <v>9.36</v>
      </c>
      <c r="CQ489" s="46">
        <v>1.66</v>
      </c>
      <c r="CR489" s="46">
        <v>20</v>
      </c>
      <c r="CS489" s="46">
        <v>16</v>
      </c>
      <c r="CT489" s="46">
        <v>4.7699999999999996</v>
      </c>
    </row>
    <row r="490" spans="1:98">
      <c r="A490" s="1" t="s">
        <v>289</v>
      </c>
      <c r="B490" s="4" t="s">
        <v>290</v>
      </c>
      <c r="C490" s="40" t="s">
        <v>422</v>
      </c>
      <c r="D490" s="63">
        <v>67.22</v>
      </c>
      <c r="E490" s="63">
        <v>2.93</v>
      </c>
      <c r="F490" s="1" t="s">
        <v>309</v>
      </c>
      <c r="G490" s="40" t="s">
        <v>124</v>
      </c>
      <c r="H490" s="40"/>
      <c r="I490" s="39"/>
      <c r="J490" s="40" t="s">
        <v>256</v>
      </c>
      <c r="K490" s="40"/>
      <c r="L490" s="4" t="s">
        <v>423</v>
      </c>
      <c r="M490" s="78" t="s">
        <v>867</v>
      </c>
      <c r="N490" s="78"/>
      <c r="P490" s="4"/>
      <c r="Q490" s="4"/>
      <c r="R490" s="4">
        <v>62.19</v>
      </c>
      <c r="S490" s="4">
        <v>1.34</v>
      </c>
      <c r="T490" s="4">
        <v>16.38</v>
      </c>
      <c r="U490" s="4">
        <v>10.36</v>
      </c>
      <c r="W490" s="4">
        <v>0.17</v>
      </c>
      <c r="X490" s="4">
        <v>2.16</v>
      </c>
      <c r="Y490" s="4">
        <v>4.1900000000000004</v>
      </c>
      <c r="Z490" s="4">
        <v>2.96</v>
      </c>
      <c r="AA490" s="4">
        <v>0.7</v>
      </c>
      <c r="AB490" s="4">
        <v>0.22</v>
      </c>
      <c r="AD490" s="23">
        <f t="shared" si="363"/>
        <v>100.66999999999999</v>
      </c>
      <c r="AE490" s="21">
        <f t="shared" si="364"/>
        <v>9.3136399999999995</v>
      </c>
      <c r="AF490" s="23">
        <f t="shared" si="365"/>
        <v>0.29250969023510198</v>
      </c>
      <c r="AG490" s="45"/>
      <c r="AH490" s="16">
        <f t="shared" si="366"/>
        <v>61.776100129134804</v>
      </c>
      <c r="AI490" s="16">
        <f t="shared" si="367"/>
        <v>1.331081752259859</v>
      </c>
      <c r="AJ490" s="16">
        <f t="shared" si="368"/>
        <v>16.270984404489919</v>
      </c>
      <c r="AK490" s="16">
        <f t="shared" si="369"/>
        <v>10.29104996523294</v>
      </c>
      <c r="AL490" s="16">
        <f t="shared" si="370"/>
        <v>0</v>
      </c>
      <c r="AM490" s="16">
        <f t="shared" si="371"/>
        <v>0.16886858051057915</v>
      </c>
      <c r="AN490" s="16">
        <f t="shared" si="372"/>
        <v>2.145624317075594</v>
      </c>
      <c r="AO490" s="16">
        <f t="shared" si="373"/>
        <v>4.1621138372901569</v>
      </c>
      <c r="AP490" s="16">
        <f t="shared" si="374"/>
        <v>2.9402999900665545</v>
      </c>
      <c r="AQ490" s="16">
        <f t="shared" si="375"/>
        <v>0.69534121386709058</v>
      </c>
      <c r="AR490" s="16">
        <f t="shared" si="376"/>
        <v>0.21853581007251419</v>
      </c>
      <c r="AS490" s="16">
        <f t="shared" si="377"/>
        <v>100</v>
      </c>
      <c r="AT490" s="16">
        <f t="shared" si="378"/>
        <v>9.2516539187444131</v>
      </c>
      <c r="AU490" s="45"/>
      <c r="AV490" s="4"/>
      <c r="AY490" s="39"/>
      <c r="BS490" s="39"/>
      <c r="BT490" s="39"/>
      <c r="BU490" s="39"/>
      <c r="BV490" s="39"/>
      <c r="BW490" s="39"/>
      <c r="CA490" s="39"/>
      <c r="CB490" s="39"/>
      <c r="CC490" s="39"/>
      <c r="CD490" s="39"/>
      <c r="CE490" s="39"/>
      <c r="CF490" s="39"/>
      <c r="CG490" s="39"/>
      <c r="CH490" s="39"/>
      <c r="CI490" s="39"/>
      <c r="CJ490" s="39"/>
      <c r="CK490" s="39"/>
      <c r="CL490" s="39"/>
      <c r="CM490" s="39"/>
      <c r="CN490" s="39"/>
      <c r="CO490" s="39"/>
      <c r="CP490" s="39"/>
      <c r="CQ490" s="39"/>
      <c r="CR490" s="39"/>
      <c r="CS490" s="39"/>
      <c r="CT490" s="39"/>
    </row>
    <row r="491" spans="1:98">
      <c r="A491" s="1" t="s">
        <v>289</v>
      </c>
      <c r="B491" s="4" t="s">
        <v>290</v>
      </c>
      <c r="C491" s="40" t="s">
        <v>125</v>
      </c>
      <c r="D491" s="63">
        <v>67.22</v>
      </c>
      <c r="E491" s="63">
        <v>2.93</v>
      </c>
      <c r="F491" s="1" t="s">
        <v>309</v>
      </c>
      <c r="G491" s="4" t="s">
        <v>124</v>
      </c>
      <c r="H491" s="4"/>
      <c r="J491" s="40" t="s">
        <v>256</v>
      </c>
      <c r="K491" s="40"/>
      <c r="L491" s="4" t="s">
        <v>423</v>
      </c>
      <c r="M491" s="78" t="s">
        <v>867</v>
      </c>
      <c r="N491" s="78"/>
      <c r="O491" s="40"/>
      <c r="P491" s="4"/>
      <c r="Q491" s="4"/>
      <c r="R491" s="4">
        <v>59.46</v>
      </c>
      <c r="S491" s="4">
        <v>1.36</v>
      </c>
      <c r="T491" s="4">
        <v>16.86</v>
      </c>
      <c r="U491" s="4">
        <v>10.97</v>
      </c>
      <c r="W491" s="4">
        <v>0.14000000000000001</v>
      </c>
      <c r="X491" s="4">
        <v>2.76</v>
      </c>
      <c r="Y491" s="4">
        <v>4.7699999999999996</v>
      </c>
      <c r="Z491" s="4">
        <v>2.68</v>
      </c>
      <c r="AA491" s="4">
        <v>0.82</v>
      </c>
      <c r="AB491" s="4">
        <v>0.18</v>
      </c>
      <c r="AD491" s="23">
        <f t="shared" si="363"/>
        <v>100.00000000000001</v>
      </c>
      <c r="AE491" s="21">
        <f t="shared" si="364"/>
        <v>9.8620300000000007</v>
      </c>
      <c r="AF491" s="23">
        <f t="shared" si="365"/>
        <v>0.33285161058123569</v>
      </c>
      <c r="AG491" s="45"/>
      <c r="AH491" s="16">
        <f t="shared" si="366"/>
        <v>59.459999999999994</v>
      </c>
      <c r="AI491" s="16">
        <f t="shared" si="367"/>
        <v>1.3599999999999999</v>
      </c>
      <c r="AJ491" s="16">
        <f t="shared" si="368"/>
        <v>16.859999999999996</v>
      </c>
      <c r="AK491" s="16">
        <f t="shared" si="369"/>
        <v>10.969999999999999</v>
      </c>
      <c r="AL491" s="16">
        <f t="shared" si="370"/>
        <v>0</v>
      </c>
      <c r="AM491" s="16">
        <f t="shared" si="371"/>
        <v>0.13999999999999999</v>
      </c>
      <c r="AN491" s="16">
        <f t="shared" si="372"/>
        <v>2.76</v>
      </c>
      <c r="AO491" s="16">
        <f t="shared" si="373"/>
        <v>4.7699999999999987</v>
      </c>
      <c r="AP491" s="16">
        <f t="shared" si="374"/>
        <v>2.6799999999999997</v>
      </c>
      <c r="AQ491" s="16">
        <f t="shared" si="375"/>
        <v>0.81999999999999984</v>
      </c>
      <c r="AR491" s="16">
        <f t="shared" si="376"/>
        <v>0.17999999999999997</v>
      </c>
      <c r="AS491" s="16">
        <f t="shared" si="377"/>
        <v>100</v>
      </c>
      <c r="AT491" s="16">
        <f t="shared" si="378"/>
        <v>9.862029999999999</v>
      </c>
      <c r="AU491" s="45"/>
      <c r="AV491" s="4"/>
      <c r="AY491" s="39">
        <v>28.57</v>
      </c>
      <c r="BR491" s="39">
        <v>46.77</v>
      </c>
      <c r="BS491" s="39"/>
      <c r="BT491" s="39">
        <v>397.06</v>
      </c>
      <c r="BV491" s="39">
        <v>24.08</v>
      </c>
      <c r="BW491" s="39"/>
      <c r="CA491" s="39">
        <v>309.33</v>
      </c>
      <c r="CB491" s="39">
        <v>37.58</v>
      </c>
      <c r="CC491" s="39">
        <v>88.09</v>
      </c>
      <c r="CD491" s="39">
        <v>9.59</v>
      </c>
      <c r="CE491" s="39">
        <v>37.71</v>
      </c>
      <c r="CF491" s="39">
        <v>7.94</v>
      </c>
      <c r="CG491" s="39">
        <v>1.35</v>
      </c>
      <c r="CH491" s="39">
        <v>8.2100000000000009</v>
      </c>
      <c r="CI491" s="39">
        <v>1.3</v>
      </c>
      <c r="CJ491" s="39">
        <v>8.07</v>
      </c>
      <c r="CK491" s="39">
        <v>1.69</v>
      </c>
      <c r="CL491" s="39">
        <v>4.91</v>
      </c>
      <c r="CM491" s="39">
        <v>0.77</v>
      </c>
      <c r="CN491" s="39">
        <v>4.82</v>
      </c>
      <c r="CO491" s="39">
        <v>0.74</v>
      </c>
      <c r="CP491" s="39">
        <v>8.91</v>
      </c>
      <c r="CQ491" s="39">
        <v>1.36</v>
      </c>
      <c r="CR491" s="39">
        <v>27.44</v>
      </c>
      <c r="CS491" s="39">
        <v>15.05</v>
      </c>
      <c r="CT491" s="39">
        <v>3</v>
      </c>
    </row>
    <row r="492" spans="1:98">
      <c r="A492" s="1" t="s">
        <v>289</v>
      </c>
      <c r="B492" s="4" t="s">
        <v>290</v>
      </c>
      <c r="C492" s="50" t="s">
        <v>430</v>
      </c>
      <c r="D492" s="63">
        <v>67.22</v>
      </c>
      <c r="E492" s="63">
        <v>2.93</v>
      </c>
      <c r="F492" s="1" t="s">
        <v>309</v>
      </c>
      <c r="G492" s="46" t="s">
        <v>301</v>
      </c>
      <c r="J492" s="38" t="s">
        <v>256</v>
      </c>
      <c r="L492" s="1" t="s">
        <v>514</v>
      </c>
      <c r="M492" s="78" t="s">
        <v>868</v>
      </c>
      <c r="N492" s="78"/>
      <c r="Q492" s="1" t="s">
        <v>312</v>
      </c>
      <c r="R492" s="47">
        <v>48.9</v>
      </c>
      <c r="S492" s="47">
        <v>1.18</v>
      </c>
      <c r="T492" s="47">
        <v>17.11</v>
      </c>
      <c r="U492" s="47">
        <v>7.23</v>
      </c>
      <c r="V492" s="47">
        <v>2.59</v>
      </c>
      <c r="W492" s="47">
        <v>0.16</v>
      </c>
      <c r="X492" s="47">
        <v>5.21</v>
      </c>
      <c r="Y492" s="47">
        <v>7.48</v>
      </c>
      <c r="Z492" s="47">
        <v>2.98</v>
      </c>
      <c r="AA492" s="47">
        <v>1.66</v>
      </c>
      <c r="AB492" s="47">
        <v>0.13</v>
      </c>
      <c r="AD492" s="23">
        <f t="shared" si="363"/>
        <v>94.63</v>
      </c>
      <c r="AE492" s="21">
        <f t="shared" si="364"/>
        <v>9.0897700000000015</v>
      </c>
      <c r="AF492" s="23">
        <f t="shared" si="365"/>
        <v>0.50539376156140969</v>
      </c>
      <c r="AH492" s="16">
        <f t="shared" si="366"/>
        <v>51.674944520765088</v>
      </c>
      <c r="AI492" s="16">
        <f t="shared" si="367"/>
        <v>1.2469618514213252</v>
      </c>
      <c r="AJ492" s="16">
        <f t="shared" si="368"/>
        <v>18.080946845609216</v>
      </c>
      <c r="AK492" s="16">
        <f t="shared" si="369"/>
        <v>7.6402832082848997</v>
      </c>
      <c r="AL492" s="16">
        <f t="shared" si="370"/>
        <v>2.7369755891366374</v>
      </c>
      <c r="AM492" s="16">
        <f t="shared" si="371"/>
        <v>0.169079573074078</v>
      </c>
      <c r="AN492" s="16">
        <f t="shared" si="372"/>
        <v>5.505653598224665</v>
      </c>
      <c r="AO492" s="16">
        <f t="shared" si="373"/>
        <v>7.9044700412131466</v>
      </c>
      <c r="AP492" s="16">
        <f t="shared" si="374"/>
        <v>3.1491070485047028</v>
      </c>
      <c r="AQ492" s="16">
        <f t="shared" si="375"/>
        <v>1.7542005706435593</v>
      </c>
      <c r="AR492" s="16">
        <f t="shared" si="376"/>
        <v>0.13737715312268836</v>
      </c>
      <c r="AS492" s="16">
        <f t="shared" si="377"/>
        <v>100</v>
      </c>
      <c r="AT492" s="16">
        <f t="shared" si="378"/>
        <v>9.6055901933847636</v>
      </c>
      <c r="AY492" s="46"/>
      <c r="AZ492" s="41"/>
      <c r="BA492" s="48">
        <v>229</v>
      </c>
      <c r="BB492" s="41"/>
      <c r="BC492" s="48">
        <v>166</v>
      </c>
      <c r="BD492" s="41"/>
      <c r="BE492" s="48">
        <v>35</v>
      </c>
      <c r="BF492" s="41"/>
      <c r="BG492" s="48">
        <v>11</v>
      </c>
      <c r="BH492" s="41"/>
      <c r="BI492" s="48">
        <v>30</v>
      </c>
      <c r="BJ492" s="41"/>
      <c r="BK492" s="48">
        <v>129</v>
      </c>
      <c r="BL492" s="41"/>
      <c r="BM492" s="41"/>
      <c r="BN492" s="41"/>
      <c r="BO492" s="48">
        <v>44</v>
      </c>
      <c r="BP492" s="41"/>
      <c r="BQ492" s="48">
        <v>185</v>
      </c>
      <c r="BR492" s="46"/>
      <c r="BS492" s="48">
        <v>36</v>
      </c>
      <c r="BT492" s="41"/>
      <c r="BU492" s="48">
        <v>127</v>
      </c>
      <c r="BV492" s="41"/>
      <c r="BW492" s="48">
        <v>6</v>
      </c>
      <c r="CA492" s="46">
        <v>242</v>
      </c>
      <c r="CB492" s="46"/>
      <c r="CC492" s="46"/>
      <c r="CD492" s="46"/>
      <c r="CE492" s="46"/>
      <c r="CF492" s="46"/>
      <c r="CG492" s="46"/>
      <c r="CH492" s="46"/>
      <c r="CI492" s="46"/>
      <c r="CJ492" s="46"/>
      <c r="CK492" s="46"/>
      <c r="CL492" s="46"/>
      <c r="CM492" s="46"/>
      <c r="CN492" s="46"/>
      <c r="CO492" s="46"/>
      <c r="CP492" s="46"/>
      <c r="CQ492" s="46"/>
      <c r="CR492" s="46"/>
      <c r="CS492" s="46"/>
      <c r="CT492" s="46"/>
    </row>
    <row r="493" spans="1:98">
      <c r="A493" s="1" t="s">
        <v>289</v>
      </c>
      <c r="B493" s="4" t="s">
        <v>290</v>
      </c>
      <c r="C493" s="50" t="s">
        <v>431</v>
      </c>
      <c r="D493" s="63">
        <v>67.22</v>
      </c>
      <c r="E493" s="63">
        <v>2.93</v>
      </c>
      <c r="F493" s="1" t="s">
        <v>309</v>
      </c>
      <c r="G493" s="46" t="s">
        <v>301</v>
      </c>
      <c r="J493" s="38" t="s">
        <v>256</v>
      </c>
      <c r="L493" s="1" t="s">
        <v>514</v>
      </c>
      <c r="M493" s="78" t="s">
        <v>868</v>
      </c>
      <c r="N493" s="78"/>
      <c r="Q493" s="1" t="s">
        <v>312</v>
      </c>
      <c r="R493" s="47">
        <v>49.97</v>
      </c>
      <c r="S493" s="47">
        <v>1.19</v>
      </c>
      <c r="T493" s="47">
        <v>16.97</v>
      </c>
      <c r="U493" s="47">
        <v>10.41</v>
      </c>
      <c r="V493" s="47"/>
      <c r="W493" s="47">
        <v>0.18</v>
      </c>
      <c r="X493" s="47">
        <v>5.14</v>
      </c>
      <c r="Y493" s="47">
        <v>7.6</v>
      </c>
      <c r="Z493" s="47">
        <v>3.27</v>
      </c>
      <c r="AA493" s="47">
        <v>1.57</v>
      </c>
      <c r="AB493" s="47">
        <v>0.18</v>
      </c>
      <c r="AC493" s="9">
        <v>3.24</v>
      </c>
      <c r="AD493" s="23">
        <f t="shared" si="363"/>
        <v>99.719999999999985</v>
      </c>
      <c r="AE493" s="21">
        <f t="shared" si="364"/>
        <v>9.3585899999999995</v>
      </c>
      <c r="AF493" s="23">
        <f t="shared" si="365"/>
        <v>0.49472621411717094</v>
      </c>
      <c r="AH493" s="16">
        <f t="shared" si="366"/>
        <v>51.793117744610285</v>
      </c>
      <c r="AI493" s="16">
        <f t="shared" si="367"/>
        <v>1.2334162520729686</v>
      </c>
      <c r="AJ493" s="16">
        <f t="shared" si="368"/>
        <v>17.589137645107797</v>
      </c>
      <c r="AK493" s="16">
        <f t="shared" si="369"/>
        <v>10.789800995024876</v>
      </c>
      <c r="AL493" s="16">
        <f t="shared" si="370"/>
        <v>0</v>
      </c>
      <c r="AM493" s="16">
        <f t="shared" si="371"/>
        <v>0.18656716417910449</v>
      </c>
      <c r="AN493" s="16">
        <f t="shared" si="372"/>
        <v>5.3275290215588731</v>
      </c>
      <c r="AO493" s="16">
        <f t="shared" si="373"/>
        <v>7.8772802653399676</v>
      </c>
      <c r="AP493" s="16">
        <f t="shared" si="374"/>
        <v>3.3893034825870649</v>
      </c>
      <c r="AQ493" s="16">
        <f t="shared" si="375"/>
        <v>1.6272802653399669</v>
      </c>
      <c r="AR493" s="16">
        <f t="shared" si="376"/>
        <v>0.18656716417910449</v>
      </c>
      <c r="AS493" s="16">
        <f t="shared" si="377"/>
        <v>100.00000000000001</v>
      </c>
      <c r="AT493" s="16">
        <f t="shared" si="378"/>
        <v>9.7000310945273647</v>
      </c>
      <c r="AY493" s="46">
        <v>49</v>
      </c>
      <c r="AZ493" s="41"/>
      <c r="BA493" s="48">
        <v>250</v>
      </c>
      <c r="BB493" s="41"/>
      <c r="BC493" s="48">
        <v>261</v>
      </c>
      <c r="BD493" s="41"/>
      <c r="BE493" s="48">
        <v>41</v>
      </c>
      <c r="BF493" s="41"/>
      <c r="BG493" s="48">
        <v>11</v>
      </c>
      <c r="BH493" s="41"/>
      <c r="BI493" s="48">
        <v>21</v>
      </c>
      <c r="BJ493" s="41"/>
      <c r="BK493" s="48">
        <v>109</v>
      </c>
      <c r="BL493" s="41"/>
      <c r="BM493" s="41"/>
      <c r="BN493" s="41"/>
      <c r="BO493" s="48">
        <v>46</v>
      </c>
      <c r="BP493" s="41"/>
      <c r="BQ493" s="48">
        <v>144</v>
      </c>
      <c r="BR493" s="48"/>
      <c r="BS493" s="48">
        <v>45</v>
      </c>
      <c r="BT493" s="41"/>
      <c r="BU493" s="48">
        <v>126</v>
      </c>
      <c r="BV493" s="41"/>
      <c r="BW493" s="48">
        <v>8</v>
      </c>
      <c r="CA493" s="46">
        <v>343</v>
      </c>
      <c r="CB493" s="46"/>
      <c r="CC493" s="46"/>
      <c r="CD493" s="46"/>
      <c r="CE493" s="46"/>
      <c r="CF493" s="46"/>
      <c r="CG493" s="46"/>
      <c r="CH493" s="46"/>
      <c r="CI493" s="46"/>
      <c r="CJ493" s="46"/>
      <c r="CK493" s="46"/>
      <c r="CL493" s="46"/>
      <c r="CM493" s="46"/>
      <c r="CN493" s="46"/>
      <c r="CO493" s="46"/>
      <c r="CP493" s="46"/>
      <c r="CQ493" s="46"/>
      <c r="CR493" s="46">
        <v>10</v>
      </c>
      <c r="CS493" s="46"/>
      <c r="CT493" s="46"/>
    </row>
    <row r="494" spans="1:98">
      <c r="A494" s="1" t="s">
        <v>289</v>
      </c>
      <c r="B494" s="4" t="s">
        <v>290</v>
      </c>
      <c r="C494" s="40" t="s">
        <v>126</v>
      </c>
      <c r="D494" s="63">
        <v>67.22</v>
      </c>
      <c r="E494" s="63">
        <v>2.93</v>
      </c>
      <c r="F494" s="1" t="s">
        <v>309</v>
      </c>
      <c r="G494" s="4" t="s">
        <v>110</v>
      </c>
      <c r="H494" s="4"/>
      <c r="J494" s="40" t="s">
        <v>256</v>
      </c>
      <c r="K494" s="40"/>
      <c r="L494" s="4" t="s">
        <v>423</v>
      </c>
      <c r="M494" s="78" t="s">
        <v>867</v>
      </c>
      <c r="N494" s="78"/>
      <c r="O494" s="40"/>
      <c r="P494" s="4"/>
      <c r="Q494" s="4"/>
      <c r="R494" s="4">
        <v>51.65</v>
      </c>
      <c r="S494" s="4">
        <v>1.25</v>
      </c>
      <c r="T494" s="4">
        <v>18.07</v>
      </c>
      <c r="U494" s="4">
        <v>10.67</v>
      </c>
      <c r="W494" s="4">
        <v>0.17</v>
      </c>
      <c r="X494" s="4">
        <v>5.5</v>
      </c>
      <c r="Y494" s="4">
        <v>7.9</v>
      </c>
      <c r="Z494" s="4">
        <v>3.15</v>
      </c>
      <c r="AA494" s="4">
        <v>1.75</v>
      </c>
      <c r="AB494" s="4">
        <v>0.19</v>
      </c>
      <c r="AD494" s="23">
        <f t="shared" si="363"/>
        <v>100.30000000000001</v>
      </c>
      <c r="AE494" s="21">
        <f t="shared" si="364"/>
        <v>9.5923300000000005</v>
      </c>
      <c r="AF494" s="23">
        <f t="shared" si="365"/>
        <v>0.50548225634434618</v>
      </c>
      <c r="AG494" s="45"/>
      <c r="AH494" s="16">
        <f t="shared" si="366"/>
        <v>51.495513459621129</v>
      </c>
      <c r="AI494" s="16">
        <f t="shared" si="367"/>
        <v>1.246261216350947</v>
      </c>
      <c r="AJ494" s="16">
        <f t="shared" si="368"/>
        <v>18.01595214356929</v>
      </c>
      <c r="AK494" s="16">
        <f t="shared" si="369"/>
        <v>10.638085742771684</v>
      </c>
      <c r="AL494" s="16">
        <f t="shared" si="370"/>
        <v>0</v>
      </c>
      <c r="AM494" s="16">
        <f t="shared" si="371"/>
        <v>0.16949152542372881</v>
      </c>
      <c r="AN494" s="16">
        <f t="shared" si="372"/>
        <v>5.4835493519441671</v>
      </c>
      <c r="AO494" s="16">
        <f t="shared" si="373"/>
        <v>7.876370887337985</v>
      </c>
      <c r="AP494" s="16">
        <f t="shared" si="374"/>
        <v>3.1405782652043865</v>
      </c>
      <c r="AQ494" s="16">
        <f t="shared" si="375"/>
        <v>1.7447657028913259</v>
      </c>
      <c r="AR494" s="16">
        <f t="shared" si="376"/>
        <v>0.18943170488534394</v>
      </c>
      <c r="AS494" s="16">
        <f t="shared" si="377"/>
        <v>99.999999999999972</v>
      </c>
      <c r="AT494" s="16">
        <f t="shared" si="378"/>
        <v>9.5636390827517452</v>
      </c>
      <c r="AU494" s="45"/>
      <c r="AV494" s="4"/>
      <c r="AY494" s="39">
        <v>44.3</v>
      </c>
      <c r="BR494" s="39">
        <v>36.520000000000003</v>
      </c>
      <c r="BS494" s="39"/>
      <c r="BT494" s="39">
        <v>138.07</v>
      </c>
      <c r="BV494" s="39">
        <v>8.6999999999999993</v>
      </c>
      <c r="BW494" s="39"/>
      <c r="CA494" s="39">
        <v>253.47</v>
      </c>
      <c r="CB494" s="39">
        <v>15.8</v>
      </c>
      <c r="CC494" s="39">
        <v>38.159999999999997</v>
      </c>
      <c r="CD494" s="39">
        <v>4.3</v>
      </c>
      <c r="CE494" s="39">
        <v>18.39</v>
      </c>
      <c r="CF494" s="39">
        <v>4.62</v>
      </c>
      <c r="CG494" s="39">
        <v>1.25</v>
      </c>
      <c r="CH494" s="39">
        <v>5.45</v>
      </c>
      <c r="CI494" s="39">
        <v>0.98</v>
      </c>
      <c r="CJ494" s="39">
        <v>6.32</v>
      </c>
      <c r="CK494" s="39">
        <v>1.34</v>
      </c>
      <c r="CL494" s="39">
        <v>3.82</v>
      </c>
      <c r="CM494" s="39">
        <v>0.6</v>
      </c>
      <c r="CN494" s="39">
        <v>3.73</v>
      </c>
      <c r="CO494" s="39">
        <v>0.56999999999999995</v>
      </c>
      <c r="CP494" s="39">
        <v>3.66</v>
      </c>
      <c r="CQ494" s="39">
        <v>0.61</v>
      </c>
      <c r="CR494" s="39">
        <v>8.49</v>
      </c>
      <c r="CS494" s="39">
        <v>4.8</v>
      </c>
      <c r="CT494" s="39">
        <v>1.06</v>
      </c>
    </row>
    <row r="495" spans="1:98">
      <c r="A495" s="1" t="s">
        <v>289</v>
      </c>
      <c r="B495" s="4" t="s">
        <v>290</v>
      </c>
      <c r="C495" s="50" t="s">
        <v>429</v>
      </c>
      <c r="D495" s="63">
        <v>67.22</v>
      </c>
      <c r="E495" s="63">
        <v>2.93</v>
      </c>
      <c r="F495" s="1" t="s">
        <v>309</v>
      </c>
      <c r="G495" s="46" t="s">
        <v>300</v>
      </c>
      <c r="J495" s="38" t="s">
        <v>256</v>
      </c>
      <c r="L495" s="1" t="s">
        <v>514</v>
      </c>
      <c r="M495" s="78" t="s">
        <v>868</v>
      </c>
      <c r="N495" s="78"/>
      <c r="Q495" s="1" t="s">
        <v>312</v>
      </c>
      <c r="R495" s="47">
        <v>49.5</v>
      </c>
      <c r="S495" s="47">
        <v>1.17</v>
      </c>
      <c r="T495" s="47">
        <v>17.600000000000001</v>
      </c>
      <c r="U495" s="47">
        <v>11.3</v>
      </c>
      <c r="V495" s="47"/>
      <c r="W495" s="47">
        <v>0.12</v>
      </c>
      <c r="X495" s="47">
        <v>6.11</v>
      </c>
      <c r="Y495" s="47">
        <v>6.75</v>
      </c>
      <c r="Z495" s="47">
        <v>3.17</v>
      </c>
      <c r="AA495" s="47">
        <v>1.2</v>
      </c>
      <c r="AB495" s="47">
        <v>0.15</v>
      </c>
      <c r="AC495" s="9">
        <v>2</v>
      </c>
      <c r="AD495" s="23">
        <f t="shared" si="363"/>
        <v>99.070000000000022</v>
      </c>
      <c r="AE495" s="21">
        <f t="shared" si="364"/>
        <v>10.158700000000001</v>
      </c>
      <c r="AF495" s="23">
        <f t="shared" si="365"/>
        <v>0.5174284175354531</v>
      </c>
      <c r="AH495" s="16">
        <f t="shared" si="366"/>
        <v>50.994127948902843</v>
      </c>
      <c r="AI495" s="16">
        <f t="shared" si="367"/>
        <v>1.2053157515195216</v>
      </c>
      <c r="AJ495" s="16">
        <f t="shared" si="368"/>
        <v>18.131245492943236</v>
      </c>
      <c r="AK495" s="16">
        <f t="shared" si="369"/>
        <v>11.641083753991962</v>
      </c>
      <c r="AL495" s="16">
        <f t="shared" si="370"/>
        <v>0</v>
      </c>
      <c r="AM495" s="16">
        <f t="shared" si="371"/>
        <v>0.12362212836097659</v>
      </c>
      <c r="AN495" s="16">
        <f t="shared" si="372"/>
        <v>6.2944267023797247</v>
      </c>
      <c r="AO495" s="16">
        <f t="shared" si="373"/>
        <v>6.9537447203049334</v>
      </c>
      <c r="AP495" s="16">
        <f t="shared" si="374"/>
        <v>3.2656845575357982</v>
      </c>
      <c r="AQ495" s="16">
        <f t="shared" si="375"/>
        <v>1.2362212836097659</v>
      </c>
      <c r="AR495" s="16">
        <f t="shared" si="376"/>
        <v>0.15452766045122074</v>
      </c>
      <c r="AS495" s="16">
        <f t="shared" si="377"/>
        <v>99.999999999999986</v>
      </c>
      <c r="AT495" s="16">
        <f t="shared" si="378"/>
        <v>10.465334294838774</v>
      </c>
      <c r="AY495" s="46">
        <v>51</v>
      </c>
      <c r="AZ495" s="41"/>
      <c r="BA495" s="48">
        <v>300</v>
      </c>
      <c r="BB495" s="41"/>
      <c r="BC495" s="48">
        <v>165</v>
      </c>
      <c r="BD495" s="41"/>
      <c r="BE495" s="48">
        <v>42</v>
      </c>
      <c r="BF495" s="41"/>
      <c r="BG495" s="48">
        <v>12</v>
      </c>
      <c r="BH495" s="41"/>
      <c r="BI495" s="48">
        <v>25</v>
      </c>
      <c r="BJ495" s="41"/>
      <c r="BK495" s="48">
        <v>115</v>
      </c>
      <c r="BL495" s="41"/>
      <c r="BM495" s="41"/>
      <c r="BN495" s="41"/>
      <c r="BO495" s="48">
        <v>30</v>
      </c>
      <c r="BP495" s="41"/>
      <c r="BQ495" s="48">
        <v>160</v>
      </c>
      <c r="BR495" s="48"/>
      <c r="BS495" s="48">
        <v>41</v>
      </c>
      <c r="BT495" s="41"/>
      <c r="BU495" s="48">
        <v>151</v>
      </c>
      <c r="BV495" s="41"/>
      <c r="BW495" s="48">
        <v>8</v>
      </c>
      <c r="CA495" s="46"/>
      <c r="CB495" s="46">
        <v>20</v>
      </c>
      <c r="CC495" s="46">
        <v>49.5</v>
      </c>
      <c r="CD495" s="46"/>
      <c r="CE495" s="46">
        <v>24.2</v>
      </c>
      <c r="CF495" s="46">
        <v>5.67</v>
      </c>
      <c r="CG495" s="46">
        <v>1.5</v>
      </c>
      <c r="CH495" s="46"/>
      <c r="CI495" s="46">
        <v>1.2</v>
      </c>
      <c r="CJ495" s="46"/>
      <c r="CK495" s="46">
        <v>2.38</v>
      </c>
      <c r="CL495" s="46"/>
      <c r="CM495" s="46"/>
      <c r="CN495" s="46">
        <v>5.69</v>
      </c>
      <c r="CO495" s="46">
        <v>0.74</v>
      </c>
      <c r="CP495" s="46">
        <v>4.5199999999999996</v>
      </c>
      <c r="CQ495" s="46">
        <v>0.55000000000000004</v>
      </c>
      <c r="CR495" s="46">
        <v>8</v>
      </c>
      <c r="CS495" s="46">
        <v>5.25</v>
      </c>
      <c r="CT495" s="46">
        <v>1.41</v>
      </c>
    </row>
    <row r="496" spans="1:98">
      <c r="A496" s="1" t="s">
        <v>289</v>
      </c>
      <c r="B496" s="4" t="s">
        <v>290</v>
      </c>
      <c r="C496" s="50" t="s">
        <v>243</v>
      </c>
      <c r="D496" s="63">
        <v>67.22</v>
      </c>
      <c r="E496" s="63">
        <v>2.93</v>
      </c>
      <c r="F496" s="1" t="s">
        <v>309</v>
      </c>
      <c r="G496" s="46" t="s">
        <v>244</v>
      </c>
      <c r="J496" s="38" t="s">
        <v>256</v>
      </c>
      <c r="L496" s="1" t="s">
        <v>514</v>
      </c>
      <c r="M496" s="78" t="s">
        <v>868</v>
      </c>
      <c r="N496" s="78"/>
      <c r="Q496" s="1" t="s">
        <v>312</v>
      </c>
      <c r="R496" s="47">
        <v>47.02</v>
      </c>
      <c r="S496" s="47">
        <v>1.24</v>
      </c>
      <c r="T496" s="47">
        <v>16.66</v>
      </c>
      <c r="U496" s="47">
        <v>13.64</v>
      </c>
      <c r="V496" s="47"/>
      <c r="W496" s="47">
        <v>0.12</v>
      </c>
      <c r="X496" s="47">
        <v>5.95</v>
      </c>
      <c r="Y496" s="47">
        <v>6.51</v>
      </c>
      <c r="Z496" s="47">
        <v>3.1</v>
      </c>
      <c r="AA496" s="47">
        <v>0.86</v>
      </c>
      <c r="AB496" s="47">
        <v>0.17</v>
      </c>
      <c r="AC496" s="9">
        <v>4.62</v>
      </c>
      <c r="AD496" s="23">
        <f t="shared" si="363"/>
        <v>99.890000000000015</v>
      </c>
      <c r="AE496" s="21">
        <f t="shared" si="364"/>
        <v>12.262360000000001</v>
      </c>
      <c r="AF496" s="23">
        <f t="shared" si="365"/>
        <v>0.46381398767517523</v>
      </c>
      <c r="AH496" s="16">
        <f t="shared" si="366"/>
        <v>49.354466253804972</v>
      </c>
      <c r="AI496" s="16">
        <f t="shared" si="367"/>
        <v>1.3015639760680171</v>
      </c>
      <c r="AJ496" s="16">
        <f t="shared" si="368"/>
        <v>17.487141807494488</v>
      </c>
      <c r="AK496" s="16">
        <f t="shared" si="369"/>
        <v>14.317203736748187</v>
      </c>
      <c r="AL496" s="16">
        <f t="shared" si="370"/>
        <v>0</v>
      </c>
      <c r="AM496" s="16">
        <f t="shared" si="371"/>
        <v>0.12595780413561455</v>
      </c>
      <c r="AN496" s="16">
        <f t="shared" si="372"/>
        <v>6.2454077883908887</v>
      </c>
      <c r="AO496" s="16">
        <f t="shared" si="373"/>
        <v>6.8332108743570901</v>
      </c>
      <c r="AP496" s="16">
        <f t="shared" si="374"/>
        <v>3.2539099401700429</v>
      </c>
      <c r="AQ496" s="16">
        <f t="shared" si="375"/>
        <v>0.9026975963052376</v>
      </c>
      <c r="AR496" s="16">
        <f t="shared" si="376"/>
        <v>0.17844022252545397</v>
      </c>
      <c r="AS496" s="16">
        <f t="shared" si="377"/>
        <v>99.999999999999986</v>
      </c>
      <c r="AT496" s="16">
        <f t="shared" si="378"/>
        <v>12.871166159336621</v>
      </c>
      <c r="AY496" s="46">
        <v>58</v>
      </c>
      <c r="AZ496" s="41"/>
      <c r="BA496" s="48">
        <v>261</v>
      </c>
      <c r="BB496" s="41"/>
      <c r="BC496" s="48">
        <v>235</v>
      </c>
      <c r="BD496" s="41"/>
      <c r="BE496" s="48">
        <v>67</v>
      </c>
      <c r="BF496" s="41"/>
      <c r="BG496" s="48">
        <v>4</v>
      </c>
      <c r="BH496" s="41"/>
      <c r="BI496" s="48">
        <v>28</v>
      </c>
      <c r="BJ496" s="41"/>
      <c r="BK496" s="48">
        <v>101</v>
      </c>
      <c r="BL496" s="41"/>
      <c r="BM496" s="41"/>
      <c r="BN496" s="41"/>
      <c r="BO496" s="48">
        <v>24</v>
      </c>
      <c r="BP496" s="41"/>
      <c r="BQ496" s="48">
        <v>165</v>
      </c>
      <c r="BR496" s="46"/>
      <c r="BS496" s="48">
        <v>47</v>
      </c>
      <c r="BT496" s="41"/>
      <c r="BU496" s="48">
        <v>126</v>
      </c>
      <c r="BV496" s="41"/>
      <c r="BW496" s="48">
        <v>7</v>
      </c>
      <c r="CA496" s="46">
        <v>344</v>
      </c>
      <c r="CB496" s="46"/>
      <c r="CC496" s="46"/>
      <c r="CD496" s="46"/>
      <c r="CE496" s="46"/>
      <c r="CF496" s="46"/>
      <c r="CG496" s="46"/>
      <c r="CH496" s="46"/>
      <c r="CI496" s="46"/>
      <c r="CJ496" s="46"/>
      <c r="CK496" s="46"/>
      <c r="CL496" s="46"/>
      <c r="CM496" s="46"/>
      <c r="CN496" s="46"/>
      <c r="CO496" s="46"/>
      <c r="CP496" s="46"/>
      <c r="CQ496" s="46"/>
      <c r="CR496" s="46">
        <v>12</v>
      </c>
      <c r="CS496" s="46"/>
      <c r="CT496" s="46"/>
    </row>
    <row r="497" spans="1:98">
      <c r="A497" s="1" t="s">
        <v>289</v>
      </c>
      <c r="B497" s="4" t="s">
        <v>290</v>
      </c>
      <c r="C497" s="50" t="s">
        <v>432</v>
      </c>
      <c r="D497" s="63">
        <v>67.22</v>
      </c>
      <c r="E497" s="63">
        <v>2.93</v>
      </c>
      <c r="F497" s="1" t="s">
        <v>309</v>
      </c>
      <c r="G497" s="46" t="s">
        <v>298</v>
      </c>
      <c r="J497" s="38" t="s">
        <v>256</v>
      </c>
      <c r="L497" s="1" t="s">
        <v>514</v>
      </c>
      <c r="M497" s="78" t="s">
        <v>868</v>
      </c>
      <c r="N497" s="78"/>
      <c r="Q497" s="1" t="s">
        <v>312</v>
      </c>
      <c r="R497" s="47">
        <v>51.7</v>
      </c>
      <c r="S497" s="47">
        <v>1.51</v>
      </c>
      <c r="T497" s="47">
        <v>14.87</v>
      </c>
      <c r="U497" s="47">
        <v>7.93</v>
      </c>
      <c r="V497" s="47">
        <v>3.42</v>
      </c>
      <c r="W497" s="47">
        <v>0.14000000000000001</v>
      </c>
      <c r="X497" s="47">
        <v>3.07</v>
      </c>
      <c r="Y497" s="47">
        <v>5.66</v>
      </c>
      <c r="Z497" s="47">
        <v>2.68</v>
      </c>
      <c r="AA497" s="47">
        <v>2.14</v>
      </c>
      <c r="AB497" s="47">
        <v>0.19</v>
      </c>
      <c r="AD497" s="23">
        <f t="shared" si="363"/>
        <v>93.309999999999988</v>
      </c>
      <c r="AE497" s="21">
        <f t="shared" si="364"/>
        <v>10.54907</v>
      </c>
      <c r="AF497" s="23">
        <f t="shared" si="365"/>
        <v>0.34159048132243547</v>
      </c>
      <c r="AH497" s="16">
        <f t="shared" si="366"/>
        <v>55.406708820062164</v>
      </c>
      <c r="AI497" s="16">
        <f t="shared" si="367"/>
        <v>1.6182617082842141</v>
      </c>
      <c r="AJ497" s="16">
        <f t="shared" si="368"/>
        <v>15.936126888865076</v>
      </c>
      <c r="AK497" s="16">
        <f t="shared" si="369"/>
        <v>8.4985532097310053</v>
      </c>
      <c r="AL497" s="16">
        <f t="shared" si="370"/>
        <v>3.6652020147894122</v>
      </c>
      <c r="AM497" s="16">
        <f t="shared" si="371"/>
        <v>0.15003750937734436</v>
      </c>
      <c r="AN497" s="16">
        <f t="shared" si="372"/>
        <v>3.2901082413460512</v>
      </c>
      <c r="AO497" s="16">
        <f t="shared" si="373"/>
        <v>6.0658021648269216</v>
      </c>
      <c r="AP497" s="16">
        <f t="shared" si="374"/>
        <v>2.872146608080592</v>
      </c>
      <c r="AQ497" s="16">
        <f t="shared" si="375"/>
        <v>2.2934305004822639</v>
      </c>
      <c r="AR497" s="16">
        <f t="shared" si="376"/>
        <v>0.20362233415496733</v>
      </c>
      <c r="AS497" s="16">
        <f t="shared" si="377"/>
        <v>100</v>
      </c>
      <c r="AT497" s="16">
        <f t="shared" si="378"/>
        <v>11.305401350337586</v>
      </c>
      <c r="AY497" s="46"/>
      <c r="AZ497" s="41"/>
      <c r="BA497" s="48">
        <v>170</v>
      </c>
      <c r="BB497" s="41"/>
      <c r="BC497" s="48">
        <v>89</v>
      </c>
      <c r="BD497" s="41"/>
      <c r="BE497" s="48">
        <v>31</v>
      </c>
      <c r="BF497" s="41"/>
      <c r="BG497" s="48">
        <v>15</v>
      </c>
      <c r="BH497" s="41"/>
      <c r="BI497" s="48">
        <v>28</v>
      </c>
      <c r="BJ497" s="41"/>
      <c r="BK497" s="48">
        <v>125</v>
      </c>
      <c r="BL497" s="41"/>
      <c r="BM497" s="41"/>
      <c r="BN497" s="41"/>
      <c r="BO497" s="48">
        <v>80</v>
      </c>
      <c r="BP497" s="41"/>
      <c r="BQ497" s="48">
        <v>198</v>
      </c>
      <c r="BR497" s="46"/>
      <c r="BS497" s="48">
        <v>45</v>
      </c>
      <c r="BT497" s="41"/>
      <c r="BU497" s="48">
        <v>194</v>
      </c>
      <c r="BV497" s="41"/>
      <c r="BW497" s="48">
        <v>12</v>
      </c>
      <c r="CA497" s="46">
        <v>382</v>
      </c>
      <c r="CB497" s="46"/>
      <c r="CC497" s="46"/>
      <c r="CD497" s="46"/>
      <c r="CE497" s="46"/>
      <c r="CF497" s="46"/>
      <c r="CG497" s="46"/>
      <c r="CH497" s="46"/>
      <c r="CI497" s="46"/>
      <c r="CJ497" s="46"/>
      <c r="CK497" s="46"/>
      <c r="CL497" s="46"/>
      <c r="CM497" s="46"/>
      <c r="CN497" s="46"/>
      <c r="CO497" s="46"/>
      <c r="CP497" s="46"/>
      <c r="CQ497" s="46"/>
      <c r="CR497" s="46"/>
      <c r="CS497" s="46"/>
      <c r="CT497" s="46"/>
    </row>
    <row r="498" spans="1:98">
      <c r="A498" s="1" t="s">
        <v>289</v>
      </c>
      <c r="B498" s="4" t="s">
        <v>290</v>
      </c>
      <c r="C498" s="50" t="s">
        <v>433</v>
      </c>
      <c r="D498" s="63">
        <v>67.22</v>
      </c>
      <c r="E498" s="63">
        <v>2.93</v>
      </c>
      <c r="F498" s="1" t="s">
        <v>309</v>
      </c>
      <c r="G498" s="46" t="s">
        <v>298</v>
      </c>
      <c r="J498" s="38" t="s">
        <v>256</v>
      </c>
      <c r="L498" s="1" t="s">
        <v>514</v>
      </c>
      <c r="M498" s="78" t="s">
        <v>868</v>
      </c>
      <c r="N498" s="78"/>
      <c r="Q498" s="1" t="s">
        <v>312</v>
      </c>
      <c r="R498" s="47">
        <v>55.5</v>
      </c>
      <c r="S498" s="47">
        <v>1.32</v>
      </c>
      <c r="T498" s="47">
        <v>16.100000000000001</v>
      </c>
      <c r="U498" s="47">
        <v>10.199999999999999</v>
      </c>
      <c r="V498" s="47"/>
      <c r="W498" s="47">
        <v>0.1</v>
      </c>
      <c r="X498" s="47">
        <v>3</v>
      </c>
      <c r="Y498" s="47">
        <v>5.57</v>
      </c>
      <c r="Z498" s="47">
        <v>3.12</v>
      </c>
      <c r="AA498" s="47">
        <v>2.16</v>
      </c>
      <c r="AB498" s="47">
        <v>0.18</v>
      </c>
      <c r="AC498" s="9">
        <v>2.17</v>
      </c>
      <c r="AD498" s="23">
        <f t="shared" si="363"/>
        <v>99.42</v>
      </c>
      <c r="AE498" s="21">
        <f t="shared" si="364"/>
        <v>9.1698000000000004</v>
      </c>
      <c r="AF498" s="23">
        <f t="shared" si="365"/>
        <v>0.36838357834980934</v>
      </c>
      <c r="AH498" s="16">
        <f t="shared" si="366"/>
        <v>57.069408740359897</v>
      </c>
      <c r="AI498" s="16">
        <f t="shared" si="367"/>
        <v>1.3573264781491003</v>
      </c>
      <c r="AJ498" s="16">
        <f t="shared" si="368"/>
        <v>16.55526992287918</v>
      </c>
      <c r="AK498" s="16">
        <f t="shared" si="369"/>
        <v>10.488431876606683</v>
      </c>
      <c r="AL498" s="16">
        <f t="shared" si="370"/>
        <v>0</v>
      </c>
      <c r="AM498" s="16">
        <f t="shared" si="371"/>
        <v>0.10282776349614396</v>
      </c>
      <c r="AN498" s="16">
        <f t="shared" si="372"/>
        <v>3.0848329048843186</v>
      </c>
      <c r="AO498" s="16">
        <f t="shared" si="373"/>
        <v>5.7275064267352187</v>
      </c>
      <c r="AP498" s="16">
        <f t="shared" si="374"/>
        <v>3.2082262210796917</v>
      </c>
      <c r="AQ498" s="16">
        <f t="shared" si="375"/>
        <v>2.2210796915167097</v>
      </c>
      <c r="AR498" s="16">
        <f t="shared" si="376"/>
        <v>0.18508997429305912</v>
      </c>
      <c r="AS498" s="16">
        <f t="shared" si="377"/>
        <v>100</v>
      </c>
      <c r="AT498" s="16">
        <f t="shared" si="378"/>
        <v>9.4291002570694076</v>
      </c>
      <c r="AY498" s="46">
        <v>44</v>
      </c>
      <c r="AZ498" s="41"/>
      <c r="BA498" s="48">
        <v>233</v>
      </c>
      <c r="BB498" s="41"/>
      <c r="BC498" s="48">
        <v>94</v>
      </c>
      <c r="BD498" s="41"/>
      <c r="BE498" s="48">
        <v>29</v>
      </c>
      <c r="BF498" s="41"/>
      <c r="BG498" s="48">
        <v>6</v>
      </c>
      <c r="BH498" s="41"/>
      <c r="BI498" s="48">
        <v>14</v>
      </c>
      <c r="BJ498" s="41"/>
      <c r="BK498" s="48">
        <v>156</v>
      </c>
      <c r="BL498" s="41"/>
      <c r="BM498" s="41"/>
      <c r="BN498" s="41"/>
      <c r="BO498" s="48">
        <v>79</v>
      </c>
      <c r="BP498" s="41"/>
      <c r="BQ498" s="48">
        <v>158</v>
      </c>
      <c r="BR498" s="48"/>
      <c r="BS498" s="48">
        <v>43</v>
      </c>
      <c r="BT498" s="41"/>
      <c r="BU498" s="48">
        <v>223</v>
      </c>
      <c r="BV498" s="41"/>
      <c r="BW498" s="48">
        <v>14</v>
      </c>
      <c r="CA498" s="46"/>
      <c r="CB498" s="46">
        <v>30.7</v>
      </c>
      <c r="CC498" s="46">
        <v>75.8</v>
      </c>
      <c r="CD498" s="46"/>
      <c r="CE498" s="46">
        <v>36.1</v>
      </c>
      <c r="CF498" s="46">
        <v>7.67</v>
      </c>
      <c r="CG498" s="46">
        <v>1.62</v>
      </c>
      <c r="CH498" s="46"/>
      <c r="CI498" s="46">
        <v>1.24</v>
      </c>
      <c r="CJ498" s="46"/>
      <c r="CK498" s="46">
        <v>2.2599999999999998</v>
      </c>
      <c r="CL498" s="46"/>
      <c r="CM498" s="46"/>
      <c r="CN498" s="46">
        <v>5.29</v>
      </c>
      <c r="CO498" s="46">
        <v>0.74</v>
      </c>
      <c r="CP498" s="46">
        <v>7.9</v>
      </c>
      <c r="CQ498" s="46">
        <v>1.01</v>
      </c>
      <c r="CR498" s="46">
        <v>12</v>
      </c>
      <c r="CS498" s="46">
        <v>8.42</v>
      </c>
      <c r="CT498" s="46">
        <v>2.13</v>
      </c>
    </row>
    <row r="499" spans="1:98">
      <c r="A499" s="1" t="s">
        <v>289</v>
      </c>
      <c r="B499" s="4" t="s">
        <v>290</v>
      </c>
      <c r="C499" s="40" t="s">
        <v>421</v>
      </c>
      <c r="D499" s="63">
        <v>67.22</v>
      </c>
      <c r="E499" s="63">
        <v>2.93</v>
      </c>
      <c r="F499" s="1" t="s">
        <v>309</v>
      </c>
      <c r="G499" s="4" t="s">
        <v>110</v>
      </c>
      <c r="H499" s="4"/>
      <c r="J499" s="40" t="s">
        <v>256</v>
      </c>
      <c r="K499" s="40"/>
      <c r="L499" s="4" t="s">
        <v>423</v>
      </c>
      <c r="M499" s="78" t="s">
        <v>867</v>
      </c>
      <c r="N499" s="78"/>
      <c r="O499" s="40"/>
      <c r="P499" s="4"/>
      <c r="Q499" s="4"/>
      <c r="R499" s="4">
        <v>51.66</v>
      </c>
      <c r="S499" s="4">
        <v>1.3</v>
      </c>
      <c r="T499" s="4">
        <v>19.03</v>
      </c>
      <c r="U499" s="4">
        <v>10.41</v>
      </c>
      <c r="W499" s="4">
        <v>0.13</v>
      </c>
      <c r="X499" s="4">
        <v>5.79</v>
      </c>
      <c r="Y499" s="4">
        <v>7</v>
      </c>
      <c r="Z499" s="4">
        <v>3.24</v>
      </c>
      <c r="AA499" s="4">
        <v>1.56</v>
      </c>
      <c r="AB499" s="4">
        <v>0.15</v>
      </c>
      <c r="AD499" s="23">
        <f t="shared" si="363"/>
        <v>100.27</v>
      </c>
      <c r="AE499" s="21">
        <f t="shared" si="364"/>
        <v>9.3585899999999995</v>
      </c>
      <c r="AF499" s="23">
        <f t="shared" si="365"/>
        <v>0.52447624222320144</v>
      </c>
      <c r="AG499" s="45"/>
      <c r="AH499" s="16">
        <f t="shared" si="366"/>
        <v>51.520893587314255</v>
      </c>
      <c r="AI499" s="16">
        <f t="shared" si="367"/>
        <v>1.2964994514810013</v>
      </c>
      <c r="AJ499" s="16">
        <f t="shared" si="368"/>
        <v>18.97875735514112</v>
      </c>
      <c r="AK499" s="16">
        <f t="shared" si="369"/>
        <v>10.38196868455171</v>
      </c>
      <c r="AL499" s="16">
        <f t="shared" si="370"/>
        <v>0</v>
      </c>
      <c r="AM499" s="16">
        <f t="shared" si="371"/>
        <v>0.12964994514810013</v>
      </c>
      <c r="AN499" s="16">
        <f t="shared" si="372"/>
        <v>5.774409095442306</v>
      </c>
      <c r="AO499" s="16">
        <f t="shared" si="373"/>
        <v>6.9811508925900077</v>
      </c>
      <c r="AP499" s="16">
        <f t="shared" si="374"/>
        <v>3.2312755559988036</v>
      </c>
      <c r="AQ499" s="16">
        <f t="shared" si="375"/>
        <v>1.5557993417772016</v>
      </c>
      <c r="AR499" s="16">
        <f t="shared" si="376"/>
        <v>0.14959609055550016</v>
      </c>
      <c r="AS499" s="16">
        <f t="shared" si="377"/>
        <v>100.00000000000003</v>
      </c>
      <c r="AT499" s="16">
        <f t="shared" si="378"/>
        <v>9.3333898474119881</v>
      </c>
      <c r="AU499" s="45"/>
      <c r="AV499" s="4"/>
      <c r="AY499" s="39"/>
      <c r="BS499" s="39"/>
      <c r="BT499" s="39"/>
      <c r="BU499" s="39"/>
      <c r="BV499" s="39"/>
      <c r="BW499" s="39"/>
      <c r="CA499" s="39"/>
      <c r="CB499" s="39"/>
      <c r="CC499" s="39"/>
      <c r="CD499" s="39"/>
      <c r="CE499" s="39"/>
      <c r="CF499" s="39"/>
      <c r="CG499" s="39"/>
      <c r="CH499" s="39"/>
      <c r="CI499" s="39"/>
      <c r="CJ499" s="39"/>
      <c r="CK499" s="39"/>
      <c r="CL499" s="39"/>
      <c r="CM499" s="39"/>
      <c r="CN499" s="39"/>
      <c r="CO499" s="39"/>
      <c r="CP499" s="39"/>
      <c r="CQ499" s="39"/>
      <c r="CR499" s="39"/>
      <c r="CS499" s="39"/>
      <c r="CT499" s="39"/>
    </row>
    <row r="500" spans="1:98">
      <c r="A500" s="1" t="s">
        <v>289</v>
      </c>
      <c r="B500" s="4" t="s">
        <v>290</v>
      </c>
      <c r="C500" s="40" t="s">
        <v>127</v>
      </c>
      <c r="D500" s="63">
        <v>67.22</v>
      </c>
      <c r="E500" s="63">
        <v>2.93</v>
      </c>
      <c r="F500" s="1" t="s">
        <v>309</v>
      </c>
      <c r="G500" s="4" t="s">
        <v>110</v>
      </c>
      <c r="H500" s="4"/>
      <c r="J500" s="40" t="s">
        <v>256</v>
      </c>
      <c r="K500" s="40"/>
      <c r="L500" s="4" t="s">
        <v>423</v>
      </c>
      <c r="M500" s="78" t="s">
        <v>867</v>
      </c>
      <c r="N500" s="78"/>
      <c r="O500" s="40"/>
      <c r="P500" s="4"/>
      <c r="Q500" s="4"/>
      <c r="R500" s="4">
        <v>52.41</v>
      </c>
      <c r="S500" s="4">
        <v>1.32</v>
      </c>
      <c r="T500" s="4">
        <v>18.809999999999999</v>
      </c>
      <c r="U500" s="4">
        <v>10.36</v>
      </c>
      <c r="W500" s="4">
        <v>0.12</v>
      </c>
      <c r="X500" s="4">
        <v>5.21</v>
      </c>
      <c r="Y500" s="4">
        <v>6.9</v>
      </c>
      <c r="Z500" s="4">
        <v>3.34</v>
      </c>
      <c r="AA500" s="4">
        <v>1.41</v>
      </c>
      <c r="AB500" s="4">
        <v>0.13</v>
      </c>
      <c r="AD500" s="23">
        <f t="shared" si="363"/>
        <v>100.00999999999999</v>
      </c>
      <c r="AE500" s="21">
        <f t="shared" si="364"/>
        <v>9.3136399999999995</v>
      </c>
      <c r="AF500" s="23">
        <f t="shared" si="365"/>
        <v>0.49931137449115848</v>
      </c>
      <c r="AG500" s="45"/>
      <c r="AH500" s="16">
        <f t="shared" si="366"/>
        <v>52.404759524047599</v>
      </c>
      <c r="AI500" s="16">
        <f t="shared" si="367"/>
        <v>1.3198680131986802</v>
      </c>
      <c r="AJ500" s="16">
        <f t="shared" si="368"/>
        <v>18.808119188081193</v>
      </c>
      <c r="AK500" s="16">
        <f t="shared" si="369"/>
        <v>10.358964103589642</v>
      </c>
      <c r="AL500" s="16">
        <f t="shared" si="370"/>
        <v>0</v>
      </c>
      <c r="AM500" s="16">
        <f t="shared" si="371"/>
        <v>0.11998800119988003</v>
      </c>
      <c r="AN500" s="16">
        <f t="shared" si="372"/>
        <v>5.2094790520947907</v>
      </c>
      <c r="AO500" s="16">
        <f t="shared" si="373"/>
        <v>6.8993100689931017</v>
      </c>
      <c r="AP500" s="16">
        <f t="shared" si="374"/>
        <v>3.3396660333966608</v>
      </c>
      <c r="AQ500" s="16">
        <f t="shared" si="375"/>
        <v>1.4098590140985903</v>
      </c>
      <c r="AR500" s="16">
        <f t="shared" si="376"/>
        <v>0.12998700129987004</v>
      </c>
      <c r="AS500" s="16">
        <f t="shared" si="377"/>
        <v>100.00000000000001</v>
      </c>
      <c r="AT500" s="16">
        <f t="shared" si="378"/>
        <v>9.3127087291270882</v>
      </c>
      <c r="AU500" s="45"/>
      <c r="AV500" s="4"/>
      <c r="AY500" s="39">
        <v>47.73</v>
      </c>
      <c r="BR500" s="39">
        <v>37.75</v>
      </c>
      <c r="BS500" s="39"/>
      <c r="BT500" s="39">
        <v>184.18</v>
      </c>
      <c r="BV500" s="39">
        <v>9.5299999999999994</v>
      </c>
      <c r="BW500" s="39"/>
      <c r="CA500" s="39">
        <v>188.56</v>
      </c>
      <c r="CB500" s="39">
        <v>17.350000000000001</v>
      </c>
      <c r="CC500" s="39">
        <v>35.72</v>
      </c>
      <c r="CD500" s="39">
        <v>3.95</v>
      </c>
      <c r="CE500" s="39">
        <v>16.920000000000002</v>
      </c>
      <c r="CF500" s="39">
        <v>4.28</v>
      </c>
      <c r="CG500" s="39">
        <v>1.22</v>
      </c>
      <c r="CH500" s="39">
        <v>5.21</v>
      </c>
      <c r="CI500" s="39">
        <v>0.96</v>
      </c>
      <c r="CJ500" s="39">
        <v>6.36</v>
      </c>
      <c r="CK500" s="39">
        <v>1.37</v>
      </c>
      <c r="CL500" s="39">
        <v>3.93</v>
      </c>
      <c r="CM500" s="39">
        <v>0.63</v>
      </c>
      <c r="CN500" s="39">
        <v>3.77</v>
      </c>
      <c r="CO500" s="39">
        <v>0.56000000000000005</v>
      </c>
      <c r="CP500" s="39">
        <v>4.49</v>
      </c>
      <c r="CQ500" s="39">
        <v>0.55000000000000004</v>
      </c>
      <c r="CR500" s="39">
        <v>8.8000000000000007</v>
      </c>
      <c r="CS500" s="39">
        <v>5.28</v>
      </c>
      <c r="CT500" s="39">
        <v>1.05</v>
      </c>
    </row>
    <row r="501" spans="1:98">
      <c r="A501" s="1" t="s">
        <v>289</v>
      </c>
      <c r="B501" s="4" t="s">
        <v>290</v>
      </c>
      <c r="C501" s="40" t="s">
        <v>109</v>
      </c>
      <c r="D501" s="63">
        <v>67.22</v>
      </c>
      <c r="E501" s="63">
        <v>2.93</v>
      </c>
      <c r="F501" s="1" t="s">
        <v>309</v>
      </c>
      <c r="G501" s="4" t="s">
        <v>110</v>
      </c>
      <c r="H501" s="4"/>
      <c r="J501" s="40" t="s">
        <v>256</v>
      </c>
      <c r="K501" s="40"/>
      <c r="L501" s="4" t="s">
        <v>423</v>
      </c>
      <c r="M501" s="78" t="s">
        <v>867</v>
      </c>
      <c r="N501" s="78"/>
      <c r="O501" s="40"/>
      <c r="P501" s="4"/>
      <c r="Q501" s="4"/>
      <c r="R501" s="4">
        <v>51.45</v>
      </c>
      <c r="S501" s="4">
        <v>1.28</v>
      </c>
      <c r="T501" s="4">
        <v>18.23</v>
      </c>
      <c r="U501" s="4">
        <v>12.02</v>
      </c>
      <c r="W501" s="4">
        <v>0.12</v>
      </c>
      <c r="X501" s="4">
        <v>5.69</v>
      </c>
      <c r="Y501" s="4">
        <v>6.8</v>
      </c>
      <c r="Z501" s="4">
        <v>3.19</v>
      </c>
      <c r="AA501" s="4">
        <v>1.0900000000000001</v>
      </c>
      <c r="AB501" s="4">
        <v>0.13</v>
      </c>
      <c r="AD501" s="23">
        <f t="shared" si="363"/>
        <v>100</v>
      </c>
      <c r="AE501" s="21">
        <f t="shared" si="364"/>
        <v>10.80598</v>
      </c>
      <c r="AF501" s="23">
        <f t="shared" si="365"/>
        <v>0.48419431699842558</v>
      </c>
      <c r="AG501" s="45"/>
      <c r="AH501" s="16">
        <f t="shared" si="366"/>
        <v>51.45</v>
      </c>
      <c r="AI501" s="16">
        <f t="shared" si="367"/>
        <v>1.28</v>
      </c>
      <c r="AJ501" s="16">
        <f t="shared" si="368"/>
        <v>18.23</v>
      </c>
      <c r="AK501" s="16">
        <f t="shared" si="369"/>
        <v>12.02</v>
      </c>
      <c r="AL501" s="16">
        <f t="shared" si="370"/>
        <v>0</v>
      </c>
      <c r="AM501" s="16">
        <f t="shared" si="371"/>
        <v>0.12</v>
      </c>
      <c r="AN501" s="16">
        <f t="shared" si="372"/>
        <v>5.69</v>
      </c>
      <c r="AO501" s="16">
        <f t="shared" si="373"/>
        <v>6.8</v>
      </c>
      <c r="AP501" s="16">
        <f t="shared" si="374"/>
        <v>3.19</v>
      </c>
      <c r="AQ501" s="16">
        <f t="shared" si="375"/>
        <v>1.0900000000000001</v>
      </c>
      <c r="AR501" s="16">
        <f t="shared" si="376"/>
        <v>0.13</v>
      </c>
      <c r="AS501" s="16">
        <f t="shared" si="377"/>
        <v>100</v>
      </c>
      <c r="AT501" s="16">
        <f t="shared" si="378"/>
        <v>10.80598</v>
      </c>
      <c r="AU501" s="45"/>
      <c r="AV501" s="4"/>
      <c r="AY501" s="39">
        <v>47.88</v>
      </c>
      <c r="BR501" s="39">
        <v>41.84</v>
      </c>
      <c r="BS501" s="39"/>
      <c r="BT501" s="39">
        <v>143.27000000000001</v>
      </c>
      <c r="BV501" s="39">
        <v>8.6999999999999993</v>
      </c>
      <c r="BW501" s="39"/>
      <c r="CA501" s="39">
        <v>311.49</v>
      </c>
      <c r="CB501" s="39">
        <v>20.38</v>
      </c>
      <c r="CC501" s="39">
        <v>41.85</v>
      </c>
      <c r="CD501" s="39">
        <v>4.6100000000000003</v>
      </c>
      <c r="CE501" s="39">
        <v>19.7</v>
      </c>
      <c r="CF501" s="39">
        <v>4.88</v>
      </c>
      <c r="CG501" s="39">
        <v>1.34</v>
      </c>
      <c r="CH501" s="39">
        <v>5.74</v>
      </c>
      <c r="CI501" s="39">
        <v>1.03</v>
      </c>
      <c r="CJ501" s="39">
        <v>6.71</v>
      </c>
      <c r="CK501" s="39">
        <v>1.44</v>
      </c>
      <c r="CL501" s="39">
        <v>4.28</v>
      </c>
      <c r="CM501" s="39">
        <v>0.69</v>
      </c>
      <c r="CN501" s="39">
        <v>4.22</v>
      </c>
      <c r="CO501" s="39">
        <v>0.66</v>
      </c>
      <c r="CP501" s="39">
        <v>3.66</v>
      </c>
      <c r="CQ501" s="39">
        <v>0.5</v>
      </c>
      <c r="CR501" s="39">
        <v>5.67</v>
      </c>
      <c r="CS501" s="39">
        <v>4.97</v>
      </c>
      <c r="CT501" s="39">
        <v>1.04</v>
      </c>
    </row>
    <row r="502" spans="1:98">
      <c r="A502" s="1" t="s">
        <v>289</v>
      </c>
      <c r="B502" s="4" t="s">
        <v>290</v>
      </c>
      <c r="C502" s="38" t="s">
        <v>109</v>
      </c>
      <c r="D502" s="63">
        <v>67.22</v>
      </c>
      <c r="E502" s="63">
        <v>2.93</v>
      </c>
      <c r="F502" s="1" t="s">
        <v>309</v>
      </c>
      <c r="G502" s="38" t="s">
        <v>110</v>
      </c>
      <c r="H502" s="38"/>
      <c r="I502" s="39"/>
      <c r="J502" s="38" t="s">
        <v>256</v>
      </c>
      <c r="K502" s="37"/>
      <c r="L502" s="4" t="s">
        <v>423</v>
      </c>
      <c r="M502" s="78" t="s">
        <v>867</v>
      </c>
      <c r="N502" s="78"/>
      <c r="O502" s="16" t="s">
        <v>82</v>
      </c>
      <c r="P502" s="12"/>
      <c r="Q502" s="16"/>
      <c r="R502" s="25"/>
      <c r="S502" s="25"/>
      <c r="T502" s="25"/>
      <c r="U502" s="25"/>
      <c r="V502" s="26"/>
      <c r="W502" s="25"/>
      <c r="X502" s="25"/>
      <c r="Y502" s="25"/>
      <c r="Z502" s="25"/>
      <c r="AA502" s="25"/>
      <c r="AB502" s="25"/>
      <c r="AC502" s="15"/>
      <c r="AD502" s="23"/>
      <c r="AE502" s="23"/>
      <c r="AF502" s="23"/>
      <c r="AG502" s="45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45"/>
      <c r="AV502" s="16"/>
      <c r="AW502" s="15"/>
      <c r="AX502" s="15"/>
      <c r="AY502" s="39">
        <v>52.25</v>
      </c>
      <c r="AZ502" s="39">
        <v>230.39</v>
      </c>
      <c r="BA502" s="39"/>
      <c r="BB502" s="15"/>
      <c r="BC502" s="15"/>
      <c r="BD502" s="39">
        <v>115.62</v>
      </c>
      <c r="BE502" s="39"/>
      <c r="BF502" s="15"/>
      <c r="BG502" s="39" t="s">
        <v>89</v>
      </c>
      <c r="BH502" s="39">
        <v>16.41</v>
      </c>
      <c r="BI502" s="39"/>
      <c r="BJ502" s="39">
        <v>76.040000000000006</v>
      </c>
      <c r="BK502" s="39"/>
      <c r="BL502" s="39">
        <v>7.65</v>
      </c>
      <c r="BM502" s="39"/>
      <c r="BN502" s="15"/>
      <c r="BO502" s="15"/>
      <c r="BP502" s="15"/>
      <c r="BQ502" s="39">
        <v>145.5</v>
      </c>
      <c r="BR502" s="39">
        <v>41.35</v>
      </c>
      <c r="BS502" s="15"/>
      <c r="BT502" s="39">
        <v>128.69</v>
      </c>
      <c r="BV502" s="39">
        <v>8.24</v>
      </c>
      <c r="BW502" s="39"/>
      <c r="BX502" s="15"/>
      <c r="BY502" s="15"/>
      <c r="BZ502" s="39">
        <v>0.24</v>
      </c>
      <c r="CA502" s="39">
        <v>223.99</v>
      </c>
      <c r="CB502" s="39">
        <v>21.21</v>
      </c>
      <c r="CC502" s="39">
        <v>42.83</v>
      </c>
      <c r="CD502" s="39">
        <v>4.42</v>
      </c>
      <c r="CE502" s="39">
        <v>20.82</v>
      </c>
      <c r="CF502" s="39">
        <v>4.4800000000000004</v>
      </c>
      <c r="CG502" s="39">
        <v>1.1499999999999999</v>
      </c>
      <c r="CH502" s="39">
        <v>5.08</v>
      </c>
      <c r="CI502" s="39">
        <v>0.95</v>
      </c>
      <c r="CJ502" s="39">
        <v>5.96</v>
      </c>
      <c r="CK502" s="39">
        <v>1.28</v>
      </c>
      <c r="CL502" s="39">
        <v>3.74</v>
      </c>
      <c r="CM502" s="39">
        <v>0.73</v>
      </c>
      <c r="CN502" s="39">
        <v>3.81</v>
      </c>
      <c r="CO502" s="39">
        <v>0.63</v>
      </c>
      <c r="CP502" s="39">
        <v>3.18</v>
      </c>
      <c r="CQ502" s="39">
        <v>0.43</v>
      </c>
      <c r="CR502" s="39">
        <v>5.74</v>
      </c>
      <c r="CS502" s="39">
        <v>3.93</v>
      </c>
      <c r="CT502" s="39">
        <v>0.57999999999999996</v>
      </c>
    </row>
    <row r="503" spans="1:98">
      <c r="A503" s="1" t="s">
        <v>289</v>
      </c>
      <c r="B503" s="4" t="s">
        <v>290</v>
      </c>
      <c r="C503" s="40" t="s">
        <v>111</v>
      </c>
      <c r="D503" s="63">
        <v>67.22</v>
      </c>
      <c r="E503" s="63">
        <v>2.93</v>
      </c>
      <c r="F503" s="1" t="s">
        <v>309</v>
      </c>
      <c r="G503" s="4" t="s">
        <v>112</v>
      </c>
      <c r="H503" s="4"/>
      <c r="J503" s="40" t="s">
        <v>256</v>
      </c>
      <c r="K503" s="40"/>
      <c r="L503" s="4" t="s">
        <v>423</v>
      </c>
      <c r="M503" s="78" t="s">
        <v>867</v>
      </c>
      <c r="N503" s="78"/>
      <c r="O503" s="40"/>
      <c r="P503" s="4"/>
      <c r="Q503" s="4"/>
      <c r="R503" s="4">
        <v>54.69</v>
      </c>
      <c r="S503" s="4">
        <v>1.76</v>
      </c>
      <c r="T503" s="4">
        <v>15.59</v>
      </c>
      <c r="U503" s="4">
        <v>14.23</v>
      </c>
      <c r="W503" s="4">
        <v>0.12</v>
      </c>
      <c r="X503" s="4">
        <v>2.4700000000000002</v>
      </c>
      <c r="Y503" s="4">
        <v>5.22</v>
      </c>
      <c r="Z503" s="4">
        <v>2.96</v>
      </c>
      <c r="AA503" s="4">
        <v>2.77</v>
      </c>
      <c r="AB503" s="4">
        <v>0.17</v>
      </c>
      <c r="AD503" s="23">
        <f>SUM(R503:AB503)+AC503</f>
        <v>99.97999999999999</v>
      </c>
      <c r="AE503" s="21">
        <f>V503+0.899*U503</f>
        <v>12.792770000000001</v>
      </c>
      <c r="AF503" s="23">
        <f>(X503/40.3)/((X503/40.3)+(AE503/71.844))</f>
        <v>0.25606613588026567</v>
      </c>
      <c r="AG503" s="45"/>
      <c r="AH503" s="16">
        <f t="shared" ref="AH503:AR503" si="381">100*R503/SUM($R503:$AB503)</f>
        <v>54.700940188037613</v>
      </c>
      <c r="AI503" s="16">
        <f t="shared" si="381"/>
        <v>1.7603520704140829</v>
      </c>
      <c r="AJ503" s="16">
        <f t="shared" si="381"/>
        <v>15.593118623724747</v>
      </c>
      <c r="AK503" s="16">
        <f t="shared" si="381"/>
        <v>14.232846569313864</v>
      </c>
      <c r="AL503" s="16">
        <f t="shared" si="381"/>
        <v>0</v>
      </c>
      <c r="AM503" s="16">
        <f t="shared" si="381"/>
        <v>0.1200240048009602</v>
      </c>
      <c r="AN503" s="16">
        <f t="shared" si="381"/>
        <v>2.4704940988197643</v>
      </c>
      <c r="AO503" s="16">
        <f t="shared" si="381"/>
        <v>5.2210442088417688</v>
      </c>
      <c r="AP503" s="16">
        <f t="shared" si="381"/>
        <v>2.9605921184236852</v>
      </c>
      <c r="AQ503" s="16">
        <f t="shared" si="381"/>
        <v>2.7705541108221645</v>
      </c>
      <c r="AR503" s="16">
        <f t="shared" si="381"/>
        <v>0.1700340068013603</v>
      </c>
      <c r="AS503" s="16">
        <f>SUM(AH503:AR503)</f>
        <v>100.00000000000001</v>
      </c>
      <c r="AT503" s="16">
        <f>AL503+0.899*AK503</f>
        <v>12.795329065813164</v>
      </c>
      <c r="AU503" s="45"/>
      <c r="AV503" s="4"/>
      <c r="AY503" s="39">
        <v>37.130000000000003</v>
      </c>
      <c r="BR503" s="39">
        <v>47.62</v>
      </c>
      <c r="BS503" s="39"/>
      <c r="BT503" s="39">
        <v>288.3</v>
      </c>
      <c r="BV503" s="39">
        <v>16.309999999999999</v>
      </c>
      <c r="BW503" s="39"/>
      <c r="CA503" s="39">
        <v>314.29000000000002</v>
      </c>
      <c r="CB503" s="39">
        <v>24.7</v>
      </c>
      <c r="CC503" s="39">
        <v>60.27</v>
      </c>
      <c r="CD503" s="39">
        <v>6.67</v>
      </c>
      <c r="CE503" s="39">
        <v>27.59</v>
      </c>
      <c r="CF503" s="39">
        <v>6.5</v>
      </c>
      <c r="CG503" s="39">
        <v>1.34</v>
      </c>
      <c r="CH503" s="39">
        <v>7.18</v>
      </c>
      <c r="CI503" s="39">
        <v>1.27</v>
      </c>
      <c r="CJ503" s="39">
        <v>8.09</v>
      </c>
      <c r="CK503" s="39">
        <v>1.74</v>
      </c>
      <c r="CL503" s="39">
        <v>5.0999999999999996</v>
      </c>
      <c r="CM503" s="39">
        <v>0.83</v>
      </c>
      <c r="CN503" s="39">
        <v>5</v>
      </c>
      <c r="CO503" s="39">
        <v>0.76</v>
      </c>
      <c r="CP503" s="39">
        <v>6.67</v>
      </c>
      <c r="CQ503" s="39">
        <v>0.94</v>
      </c>
      <c r="CR503" s="39">
        <v>16.690000000000001</v>
      </c>
      <c r="CS503" s="39">
        <v>9.25</v>
      </c>
      <c r="CT503" s="39">
        <v>1.92</v>
      </c>
    </row>
    <row r="504" spans="1:98">
      <c r="A504" s="1" t="s">
        <v>289</v>
      </c>
      <c r="B504" s="4" t="s">
        <v>290</v>
      </c>
      <c r="C504" s="38" t="s">
        <v>111</v>
      </c>
      <c r="D504" s="63">
        <v>67.22</v>
      </c>
      <c r="E504" s="63">
        <v>2.93</v>
      </c>
      <c r="F504" s="1" t="s">
        <v>309</v>
      </c>
      <c r="G504" s="38" t="s">
        <v>112</v>
      </c>
      <c r="H504" s="38"/>
      <c r="I504" s="39"/>
      <c r="J504" s="38" t="s">
        <v>256</v>
      </c>
      <c r="K504" s="37"/>
      <c r="L504" s="4" t="s">
        <v>423</v>
      </c>
      <c r="M504" s="78" t="s">
        <v>867</v>
      </c>
      <c r="N504" s="78"/>
      <c r="O504" s="16" t="s">
        <v>82</v>
      </c>
      <c r="P504" s="12"/>
      <c r="Q504" s="16"/>
      <c r="R504" s="25"/>
      <c r="S504" s="25"/>
      <c r="T504" s="25"/>
      <c r="U504" s="25"/>
      <c r="V504" s="26"/>
      <c r="W504" s="25"/>
      <c r="X504" s="25"/>
      <c r="Y504" s="25"/>
      <c r="Z504" s="25"/>
      <c r="AA504" s="25"/>
      <c r="AB504" s="25"/>
      <c r="AC504" s="15"/>
      <c r="AD504" s="23"/>
      <c r="AE504" s="23"/>
      <c r="AF504" s="23"/>
      <c r="AG504" s="45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45"/>
      <c r="AV504" s="16"/>
      <c r="AW504" s="15"/>
      <c r="AX504" s="15"/>
      <c r="AY504" s="39">
        <v>12.92</v>
      </c>
      <c r="AZ504" s="39">
        <v>125.01</v>
      </c>
      <c r="BA504" s="39"/>
      <c r="BB504" s="15"/>
      <c r="BC504" s="15"/>
      <c r="BD504" s="39">
        <v>8.0299999999999994</v>
      </c>
      <c r="BE504" s="39"/>
      <c r="BF504" s="15"/>
      <c r="BG504" s="39">
        <v>13.98</v>
      </c>
      <c r="BH504" s="39">
        <v>63</v>
      </c>
      <c r="BI504" s="39"/>
      <c r="BJ504" s="39">
        <v>91.43</v>
      </c>
      <c r="BK504" s="39"/>
      <c r="BL504" s="39">
        <v>21.81</v>
      </c>
      <c r="BM504" s="39"/>
      <c r="BN504" s="15"/>
      <c r="BO504" s="15"/>
      <c r="BP504" s="15"/>
      <c r="BQ504" s="39">
        <v>769.05</v>
      </c>
      <c r="BR504" s="39">
        <v>21.88</v>
      </c>
      <c r="BS504" s="15"/>
      <c r="BT504" s="39">
        <v>250.94</v>
      </c>
      <c r="BV504" s="39">
        <v>16.149999999999999</v>
      </c>
      <c r="BW504" s="39"/>
      <c r="BX504" s="15"/>
      <c r="BY504" s="15"/>
      <c r="BZ504" s="39">
        <v>1.31</v>
      </c>
      <c r="CA504" s="39">
        <v>1224.3800000000001</v>
      </c>
      <c r="CB504" s="39">
        <v>38.51</v>
      </c>
      <c r="CC504" s="39">
        <v>69.83</v>
      </c>
      <c r="CD504" s="39">
        <v>7.64</v>
      </c>
      <c r="CE504" s="39">
        <v>32.92</v>
      </c>
      <c r="CF504" s="39">
        <v>5.81</v>
      </c>
      <c r="CG504" s="39">
        <v>1.71</v>
      </c>
      <c r="CH504" s="39">
        <v>4.95</v>
      </c>
      <c r="CI504" s="39">
        <v>0.72</v>
      </c>
      <c r="CJ504" s="39">
        <v>3.67</v>
      </c>
      <c r="CK504" s="39">
        <v>0.71</v>
      </c>
      <c r="CL504" s="39">
        <v>1.89</v>
      </c>
      <c r="CM504" s="39">
        <v>0.34</v>
      </c>
      <c r="CN504" s="39">
        <v>1.71</v>
      </c>
      <c r="CO504" s="39">
        <v>0.27</v>
      </c>
      <c r="CP504" s="39">
        <v>5.46</v>
      </c>
      <c r="CQ504" s="39">
        <v>0.92</v>
      </c>
      <c r="CR504" s="39">
        <v>36.549999999999997</v>
      </c>
      <c r="CS504" s="39">
        <v>6.31</v>
      </c>
      <c r="CT504" s="39">
        <v>1.85</v>
      </c>
    </row>
    <row r="505" spans="1:98">
      <c r="A505" s="1" t="s">
        <v>289</v>
      </c>
      <c r="B505" s="4" t="s">
        <v>290</v>
      </c>
      <c r="C505" s="40" t="s">
        <v>128</v>
      </c>
      <c r="D505" s="63">
        <v>67.22</v>
      </c>
      <c r="E505" s="63">
        <v>2.93</v>
      </c>
      <c r="F505" s="1" t="s">
        <v>309</v>
      </c>
      <c r="G505" s="4" t="s">
        <v>112</v>
      </c>
      <c r="H505" s="4"/>
      <c r="J505" s="40" t="s">
        <v>256</v>
      </c>
      <c r="K505" s="40"/>
      <c r="L505" s="4" t="s">
        <v>423</v>
      </c>
      <c r="M505" s="78" t="s">
        <v>867</v>
      </c>
      <c r="N505" s="78"/>
      <c r="O505" s="4"/>
      <c r="P505" s="4"/>
      <c r="Q505" s="4"/>
      <c r="AD505" s="23"/>
      <c r="AE505" s="23"/>
      <c r="AF505" s="23"/>
      <c r="AG505" s="45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45"/>
      <c r="AV505" s="4"/>
      <c r="AY505" s="39">
        <v>38.82</v>
      </c>
      <c r="BR505" s="39">
        <v>43.28</v>
      </c>
      <c r="BS505" s="39"/>
      <c r="BT505" s="39">
        <v>236.89</v>
      </c>
      <c r="BV505" s="39">
        <v>14.46</v>
      </c>
      <c r="BW505" s="39"/>
      <c r="CA505" s="39">
        <v>424.69</v>
      </c>
      <c r="CB505" s="39">
        <v>24.61</v>
      </c>
      <c r="CC505" s="39">
        <v>55.82</v>
      </c>
      <c r="CD505" s="39">
        <v>7.11</v>
      </c>
      <c r="CE505" s="39">
        <v>27.43</v>
      </c>
      <c r="CF505" s="39">
        <v>6.51</v>
      </c>
      <c r="CG505" s="39">
        <v>1.39</v>
      </c>
      <c r="CH505" s="39">
        <v>7.28</v>
      </c>
      <c r="CI505" s="39">
        <v>1.31</v>
      </c>
      <c r="CJ505" s="39">
        <v>7.63</v>
      </c>
      <c r="CK505" s="39">
        <v>1.67</v>
      </c>
      <c r="CL505" s="39">
        <v>4.6500000000000004</v>
      </c>
      <c r="CM505" s="39">
        <v>0.76</v>
      </c>
      <c r="CN505" s="39">
        <v>4.71</v>
      </c>
      <c r="CO505" s="39">
        <v>0.7</v>
      </c>
      <c r="CP505" s="39">
        <v>5.77</v>
      </c>
      <c r="CQ505" s="39">
        <v>0.95</v>
      </c>
      <c r="CR505" s="39">
        <v>12.38</v>
      </c>
      <c r="CS505" s="39">
        <v>8.6300000000000008</v>
      </c>
      <c r="CT505" s="39">
        <v>2.02</v>
      </c>
    </row>
    <row r="506" spans="1:98">
      <c r="A506" s="1" t="s">
        <v>289</v>
      </c>
      <c r="B506" s="4" t="s">
        <v>290</v>
      </c>
      <c r="C506" s="40" t="s">
        <v>113</v>
      </c>
      <c r="D506" s="63">
        <v>67.22</v>
      </c>
      <c r="E506" s="63">
        <v>2.93</v>
      </c>
      <c r="F506" s="1" t="s">
        <v>309</v>
      </c>
      <c r="G506" s="4" t="s">
        <v>112</v>
      </c>
      <c r="H506" s="4"/>
      <c r="J506" s="40" t="s">
        <v>256</v>
      </c>
      <c r="K506" s="40"/>
      <c r="L506" s="4" t="s">
        <v>423</v>
      </c>
      <c r="M506" s="78" t="s">
        <v>867</v>
      </c>
      <c r="N506" s="78"/>
      <c r="O506" s="4"/>
      <c r="P506" s="4"/>
      <c r="Q506" s="4"/>
      <c r="R506" s="4">
        <v>57.14</v>
      </c>
      <c r="S506" s="4">
        <v>1.63</v>
      </c>
      <c r="T506" s="4">
        <v>16.13</v>
      </c>
      <c r="U506" s="4">
        <v>11.66</v>
      </c>
      <c r="W506" s="4">
        <v>0.11</v>
      </c>
      <c r="X506" s="4">
        <v>2.64</v>
      </c>
      <c r="Y506" s="4">
        <v>5.44</v>
      </c>
      <c r="Z506" s="4">
        <v>2.87</v>
      </c>
      <c r="AA506" s="4">
        <v>2.23</v>
      </c>
      <c r="AB506" s="4">
        <v>0.15</v>
      </c>
      <c r="AD506" s="23">
        <f>SUM(R506:AB506)+AC506</f>
        <v>100.00000000000001</v>
      </c>
      <c r="AE506" s="21">
        <f>V506+0.899*U506</f>
        <v>10.482340000000001</v>
      </c>
      <c r="AF506" s="23">
        <f>(X506/40.3)/((X506/40.3)+(AE506/71.844))</f>
        <v>0.30986139139958957</v>
      </c>
      <c r="AG506" s="45"/>
      <c r="AH506" s="16">
        <f t="shared" ref="AH506:AR506" si="382">100*R506/SUM($R506:$AB506)</f>
        <v>57.139999999999993</v>
      </c>
      <c r="AI506" s="16">
        <f t="shared" si="382"/>
        <v>1.6299999999999997</v>
      </c>
      <c r="AJ506" s="16">
        <f t="shared" si="382"/>
        <v>16.13</v>
      </c>
      <c r="AK506" s="16">
        <f t="shared" si="382"/>
        <v>11.659999999999998</v>
      </c>
      <c r="AL506" s="16">
        <f t="shared" si="382"/>
        <v>0</v>
      </c>
      <c r="AM506" s="16">
        <f t="shared" si="382"/>
        <v>0.10999999999999999</v>
      </c>
      <c r="AN506" s="16">
        <f t="shared" si="382"/>
        <v>2.6399999999999997</v>
      </c>
      <c r="AO506" s="16">
        <f t="shared" si="382"/>
        <v>5.4399999999999995</v>
      </c>
      <c r="AP506" s="16">
        <f t="shared" si="382"/>
        <v>2.8699999999999997</v>
      </c>
      <c r="AQ506" s="16">
        <f t="shared" si="382"/>
        <v>2.2299999999999995</v>
      </c>
      <c r="AR506" s="16">
        <f t="shared" si="382"/>
        <v>0.14999999999999997</v>
      </c>
      <c r="AS506" s="16">
        <f>SUM(AH506:AR506)</f>
        <v>100</v>
      </c>
      <c r="AT506" s="16">
        <f>AL506+0.899*AK506</f>
        <v>10.482339999999999</v>
      </c>
      <c r="AU506" s="45"/>
      <c r="AV506" s="4"/>
      <c r="AY506" s="39">
        <v>43.87</v>
      </c>
      <c r="BR506" s="39">
        <v>46.26</v>
      </c>
      <c r="BS506" s="39"/>
      <c r="BT506" s="39">
        <v>241.28</v>
      </c>
      <c r="BV506" s="39">
        <v>15.36</v>
      </c>
      <c r="BW506" s="39"/>
      <c r="CA506" s="39">
        <v>324.66000000000003</v>
      </c>
      <c r="CB506" s="39">
        <v>24.49</v>
      </c>
      <c r="CC506" s="39">
        <v>57.75</v>
      </c>
      <c r="CD506" s="39">
        <v>6.28</v>
      </c>
      <c r="CE506" s="39">
        <v>25.94</v>
      </c>
      <c r="CF506" s="39">
        <v>6.06</v>
      </c>
      <c r="CG506" s="39">
        <v>1.33</v>
      </c>
      <c r="CH506" s="39">
        <v>6.5</v>
      </c>
      <c r="CI506" s="39">
        <v>1.1499999999999999</v>
      </c>
      <c r="CJ506" s="39">
        <v>7.48</v>
      </c>
      <c r="CK506" s="39">
        <v>1.58</v>
      </c>
      <c r="CL506" s="39">
        <v>4.66</v>
      </c>
      <c r="CM506" s="39">
        <v>0.77</v>
      </c>
      <c r="CN506" s="39">
        <v>4.5199999999999996</v>
      </c>
      <c r="CO506" s="39">
        <v>0.71</v>
      </c>
      <c r="CP506" s="39">
        <v>5.91</v>
      </c>
      <c r="CQ506" s="39">
        <v>0.87</v>
      </c>
      <c r="CR506" s="39">
        <v>14.94</v>
      </c>
      <c r="CS506" s="39">
        <v>8.24</v>
      </c>
      <c r="CT506" s="39">
        <v>1.85</v>
      </c>
    </row>
    <row r="507" spans="1:98">
      <c r="A507" s="1" t="s">
        <v>289</v>
      </c>
      <c r="B507" s="4" t="s">
        <v>290</v>
      </c>
      <c r="C507" s="38" t="s">
        <v>113</v>
      </c>
      <c r="D507" s="63">
        <v>67.22</v>
      </c>
      <c r="E507" s="63">
        <v>2.93</v>
      </c>
      <c r="F507" s="1" t="s">
        <v>309</v>
      </c>
      <c r="G507" s="38" t="s">
        <v>112</v>
      </c>
      <c r="H507" s="38"/>
      <c r="I507" s="39"/>
      <c r="J507" s="38" t="s">
        <v>256</v>
      </c>
      <c r="K507" s="37"/>
      <c r="L507" s="4" t="s">
        <v>423</v>
      </c>
      <c r="M507" s="78" t="s">
        <v>867</v>
      </c>
      <c r="N507" s="78"/>
      <c r="O507" s="16" t="s">
        <v>82</v>
      </c>
      <c r="P507" s="12"/>
      <c r="Q507" s="16"/>
      <c r="R507" s="25"/>
      <c r="S507" s="25"/>
      <c r="T507" s="25"/>
      <c r="U507" s="25"/>
      <c r="V507" s="26"/>
      <c r="W507" s="25"/>
      <c r="X507" s="25"/>
      <c r="Y507" s="25"/>
      <c r="Z507" s="25"/>
      <c r="AA507" s="25"/>
      <c r="AB507" s="25"/>
      <c r="AC507" s="15"/>
      <c r="AD507" s="23"/>
      <c r="AE507" s="23"/>
      <c r="AF507" s="23"/>
      <c r="AG507" s="45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45"/>
      <c r="AV507" s="16"/>
      <c r="AW507" s="15"/>
      <c r="AX507" s="15"/>
      <c r="AY507" s="39">
        <v>50.24</v>
      </c>
      <c r="AZ507" s="39">
        <v>158.6</v>
      </c>
      <c r="BA507" s="39"/>
      <c r="BB507" s="15"/>
      <c r="BC507" s="15"/>
      <c r="BD507" s="39">
        <v>30.59</v>
      </c>
      <c r="BE507" s="39"/>
      <c r="BF507" s="15"/>
      <c r="BG507" s="39">
        <v>20.56</v>
      </c>
      <c r="BH507" s="39">
        <v>15.52</v>
      </c>
      <c r="BI507" s="39"/>
      <c r="BJ507" s="39">
        <v>150.61000000000001</v>
      </c>
      <c r="BK507" s="39"/>
      <c r="BL507" s="39">
        <v>9.5500000000000007</v>
      </c>
      <c r="BM507" s="39"/>
      <c r="BN507" s="15"/>
      <c r="BO507" s="15"/>
      <c r="BP507" s="15"/>
      <c r="BQ507" s="39">
        <v>131.44</v>
      </c>
      <c r="BR507" s="39">
        <v>45.09</v>
      </c>
      <c r="BS507" s="15"/>
      <c r="BT507" s="39">
        <v>198.25</v>
      </c>
      <c r="BV507" s="39">
        <v>15.11</v>
      </c>
      <c r="BW507" s="39"/>
      <c r="BX507" s="15"/>
      <c r="BY507" s="15"/>
      <c r="BZ507" s="39">
        <v>1.23</v>
      </c>
      <c r="CA507" s="39">
        <v>350.99</v>
      </c>
      <c r="CB507" s="39">
        <v>25.47</v>
      </c>
      <c r="CC507" s="39">
        <v>58.9</v>
      </c>
      <c r="CD507" s="39">
        <v>6.04</v>
      </c>
      <c r="CE507" s="39">
        <v>26.94</v>
      </c>
      <c r="CF507" s="39">
        <v>6.23</v>
      </c>
      <c r="CG507" s="39">
        <v>1.24</v>
      </c>
      <c r="CH507" s="39">
        <v>6.28</v>
      </c>
      <c r="CI507" s="39">
        <v>1.19</v>
      </c>
      <c r="CJ507" s="39">
        <v>7.19</v>
      </c>
      <c r="CK507" s="39">
        <v>1.57</v>
      </c>
      <c r="CL507" s="39">
        <v>4.51</v>
      </c>
      <c r="CM507" s="39">
        <v>0.84</v>
      </c>
      <c r="CN507" s="39">
        <v>4.34</v>
      </c>
      <c r="CO507" s="39">
        <v>0.64</v>
      </c>
      <c r="CP507" s="39">
        <v>5.32</v>
      </c>
      <c r="CQ507" s="39">
        <v>1.64</v>
      </c>
      <c r="CR507" s="39">
        <v>8.85</v>
      </c>
      <c r="CS507" s="39">
        <v>6.2</v>
      </c>
      <c r="CT507" s="39">
        <v>1.23</v>
      </c>
    </row>
    <row r="508" spans="1:98">
      <c r="A508" s="57" t="s">
        <v>650</v>
      </c>
      <c r="B508" s="46"/>
      <c r="C508" s="4"/>
      <c r="J508" s="38"/>
      <c r="L508" s="4"/>
      <c r="M508" s="4"/>
      <c r="N508" s="4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  <c r="AF508" s="23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Y508" s="46"/>
      <c r="AZ508" s="41"/>
      <c r="BA508" s="48"/>
      <c r="BB508" s="41"/>
      <c r="BC508" s="48"/>
      <c r="BD508" s="41"/>
      <c r="BE508" s="48"/>
      <c r="BF508" s="41"/>
      <c r="BG508" s="48"/>
      <c r="BH508" s="41"/>
      <c r="BI508" s="48"/>
      <c r="BJ508" s="41"/>
      <c r="BK508" s="48"/>
      <c r="BL508" s="41"/>
      <c r="BM508" s="41"/>
      <c r="BN508" s="41"/>
      <c r="BO508" s="48"/>
      <c r="BP508" s="41"/>
      <c r="BQ508" s="48"/>
      <c r="BR508" s="46"/>
      <c r="BS508" s="48"/>
      <c r="BT508" s="41"/>
      <c r="BU508" s="48"/>
      <c r="BV508" s="41"/>
      <c r="BW508" s="48"/>
      <c r="CA508" s="46"/>
      <c r="CB508" s="46"/>
      <c r="CC508" s="46"/>
      <c r="CD508" s="46"/>
      <c r="CE508" s="46"/>
      <c r="CF508" s="46"/>
      <c r="CG508" s="46"/>
      <c r="CH508" s="46"/>
      <c r="CI508" s="46"/>
      <c r="CJ508" s="46"/>
      <c r="CK508" s="46"/>
      <c r="CL508" s="46"/>
      <c r="CM508" s="46"/>
      <c r="CN508" s="46"/>
      <c r="CO508" s="46"/>
      <c r="CP508" s="46"/>
      <c r="CQ508" s="46"/>
      <c r="CR508" s="46"/>
      <c r="CS508" s="46"/>
      <c r="CT508" s="46"/>
    </row>
    <row r="509" spans="1:98">
      <c r="A509" s="1" t="s">
        <v>289</v>
      </c>
      <c r="B509" s="4" t="s">
        <v>290</v>
      </c>
      <c r="C509" s="46" t="s">
        <v>470</v>
      </c>
      <c r="D509" s="63">
        <v>67.22</v>
      </c>
      <c r="E509" s="63">
        <v>2.93</v>
      </c>
      <c r="F509" s="1" t="s">
        <v>309</v>
      </c>
      <c r="G509" s="46" t="s">
        <v>122</v>
      </c>
      <c r="J509" s="38" t="s">
        <v>420</v>
      </c>
      <c r="L509" s="1" t="s">
        <v>514</v>
      </c>
      <c r="M509" s="78" t="s">
        <v>868</v>
      </c>
      <c r="N509" s="78"/>
      <c r="R509" s="47">
        <v>64.5</v>
      </c>
      <c r="S509" s="47">
        <v>1.1499999999999999</v>
      </c>
      <c r="T509" s="47">
        <v>14.4</v>
      </c>
      <c r="U509" s="47">
        <v>7.93</v>
      </c>
      <c r="V509" s="47"/>
      <c r="W509" s="47">
        <v>0.1</v>
      </c>
      <c r="X509" s="47">
        <v>1.57</v>
      </c>
      <c r="Y509" s="47">
        <v>3.48</v>
      </c>
      <c r="Z509" s="47">
        <v>2.82</v>
      </c>
      <c r="AA509" s="47">
        <v>0.82</v>
      </c>
      <c r="AB509" s="47">
        <v>0.18</v>
      </c>
      <c r="AC509" s="9">
        <v>3</v>
      </c>
      <c r="AD509" s="23">
        <f>SUM(R509:AB509)+AC509</f>
        <v>99.95</v>
      </c>
      <c r="AE509" s="21">
        <f>V509+0.899*U509</f>
        <v>7.1290699999999996</v>
      </c>
      <c r="AF509" s="23">
        <f>(X509/40.3)/((X509/40.3)+(AE509/71.844))</f>
        <v>0.2819196157080075</v>
      </c>
      <c r="AH509" s="16">
        <f t="shared" ref="AH509:AR513" si="383">100*R509/SUM($R509:$AB509)</f>
        <v>66.529138731304798</v>
      </c>
      <c r="AI509" s="16">
        <f t="shared" si="383"/>
        <v>1.1861784424961319</v>
      </c>
      <c r="AJ509" s="16">
        <f t="shared" si="383"/>
        <v>14.853017019082001</v>
      </c>
      <c r="AK509" s="16">
        <f t="shared" si="383"/>
        <v>8.1794739556472411</v>
      </c>
      <c r="AL509" s="16">
        <f t="shared" si="383"/>
        <v>0</v>
      </c>
      <c r="AM509" s="16">
        <f t="shared" si="383"/>
        <v>0.10314595152140278</v>
      </c>
      <c r="AN509" s="16">
        <f t="shared" si="383"/>
        <v>1.6193914388860238</v>
      </c>
      <c r="AO509" s="16">
        <f t="shared" si="383"/>
        <v>3.5894791129448169</v>
      </c>
      <c r="AP509" s="16">
        <f t="shared" si="383"/>
        <v>2.9087158329035585</v>
      </c>
      <c r="AQ509" s="16">
        <f t="shared" si="383"/>
        <v>0.84579680247550282</v>
      </c>
      <c r="AR509" s="16">
        <f t="shared" si="383"/>
        <v>0.185662712738525</v>
      </c>
      <c r="AS509" s="16">
        <f>SUM(AH509:AR509)</f>
        <v>99.999999999999986</v>
      </c>
      <c r="AT509" s="16">
        <f>AL509+0.899*AK509</f>
        <v>7.3533470861268695</v>
      </c>
      <c r="AY509" s="46">
        <v>16</v>
      </c>
      <c r="AZ509" s="41"/>
      <c r="BA509" s="48">
        <v>153</v>
      </c>
      <c r="BB509" s="41"/>
      <c r="BC509" s="48">
        <v>59</v>
      </c>
      <c r="BD509" s="41"/>
      <c r="BE509" s="48">
        <v>13</v>
      </c>
      <c r="BF509" s="41"/>
      <c r="BG509" s="48">
        <v>12</v>
      </c>
      <c r="BH509" s="41"/>
      <c r="BI509" s="48">
        <v>13</v>
      </c>
      <c r="BJ509" s="41"/>
      <c r="BK509" s="48">
        <v>115</v>
      </c>
      <c r="BL509" s="41"/>
      <c r="BM509" s="41"/>
      <c r="BN509" s="41"/>
      <c r="BO509" s="48">
        <v>70</v>
      </c>
      <c r="BP509" s="41"/>
      <c r="BQ509" s="48">
        <v>187</v>
      </c>
      <c r="BR509" s="48"/>
      <c r="BS509" s="48">
        <v>43</v>
      </c>
      <c r="BT509" s="41"/>
      <c r="BU509" s="48">
        <v>296</v>
      </c>
      <c r="BV509" s="41"/>
      <c r="BW509" s="48">
        <v>20</v>
      </c>
      <c r="CA509" s="46"/>
      <c r="CB509" s="46">
        <v>44.3</v>
      </c>
      <c r="CC509" s="46">
        <v>107</v>
      </c>
      <c r="CD509" s="46"/>
      <c r="CE509" s="46">
        <v>46.6</v>
      </c>
      <c r="CF509" s="46">
        <v>9.11</v>
      </c>
      <c r="CG509" s="46">
        <v>1.48</v>
      </c>
      <c r="CH509" s="46"/>
      <c r="CI509" s="46">
        <v>1.07</v>
      </c>
      <c r="CJ509" s="46"/>
      <c r="CK509" s="46">
        <v>2.27</v>
      </c>
      <c r="CL509" s="46"/>
      <c r="CM509" s="46"/>
      <c r="CN509" s="46">
        <v>4.2300000000000004</v>
      </c>
      <c r="CO509" s="46">
        <v>0.65</v>
      </c>
      <c r="CP509" s="46">
        <v>5.7</v>
      </c>
      <c r="CQ509" s="46">
        <v>1.34</v>
      </c>
      <c r="CR509" s="46">
        <v>20</v>
      </c>
      <c r="CS509" s="46">
        <v>14.5</v>
      </c>
      <c r="CT509" s="46">
        <v>2.9</v>
      </c>
    </row>
    <row r="510" spans="1:98">
      <c r="A510" s="1" t="s">
        <v>289</v>
      </c>
      <c r="B510" s="4" t="s">
        <v>290</v>
      </c>
      <c r="C510" s="46" t="s">
        <v>469</v>
      </c>
      <c r="D510" s="63">
        <v>67.22</v>
      </c>
      <c r="E510" s="63">
        <v>2.93</v>
      </c>
      <c r="F510" s="1" t="s">
        <v>309</v>
      </c>
      <c r="G510" s="46" t="s">
        <v>122</v>
      </c>
      <c r="J510" s="38" t="s">
        <v>420</v>
      </c>
      <c r="L510" s="1" t="s">
        <v>514</v>
      </c>
      <c r="M510" s="78" t="s">
        <v>868</v>
      </c>
      <c r="N510" s="78"/>
      <c r="R510" s="47">
        <v>63</v>
      </c>
      <c r="S510" s="47">
        <v>1.2</v>
      </c>
      <c r="T510" s="47">
        <v>14.68</v>
      </c>
      <c r="U510" s="47">
        <v>2.65</v>
      </c>
      <c r="V510" s="47">
        <v>5.18</v>
      </c>
      <c r="W510" s="47">
        <v>0.1</v>
      </c>
      <c r="X510" s="47">
        <v>1.65</v>
      </c>
      <c r="Y510" s="47">
        <v>3.58</v>
      </c>
      <c r="Z510" s="47">
        <v>2.38</v>
      </c>
      <c r="AA510" s="47">
        <v>0.77</v>
      </c>
      <c r="AB510" s="47">
        <v>0.19</v>
      </c>
      <c r="AD510" s="23">
        <f>SUM(R510:AB510)+AC510</f>
        <v>95.38</v>
      </c>
      <c r="AE510" s="21">
        <f>V510+0.899*U510</f>
        <v>7.5623500000000003</v>
      </c>
      <c r="AF510" s="23">
        <f>(X510/40.3)/((X510/40.3)+(AE510/71.844))</f>
        <v>0.28004043086584984</v>
      </c>
      <c r="AH510" s="16">
        <f t="shared" si="383"/>
        <v>66.051583141119735</v>
      </c>
      <c r="AI510" s="16">
        <f t="shared" si="383"/>
        <v>1.2581253931641854</v>
      </c>
      <c r="AJ510" s="16">
        <f t="shared" si="383"/>
        <v>15.391067309708536</v>
      </c>
      <c r="AK510" s="16">
        <f t="shared" si="383"/>
        <v>2.778360243237576</v>
      </c>
      <c r="AL510" s="16">
        <f t="shared" si="383"/>
        <v>5.430907947158734</v>
      </c>
      <c r="AM510" s="16">
        <f t="shared" si="383"/>
        <v>0.10484378276368211</v>
      </c>
      <c r="AN510" s="16">
        <f t="shared" si="383"/>
        <v>1.7299224156007549</v>
      </c>
      <c r="AO510" s="16">
        <f t="shared" si="383"/>
        <v>3.7534074229398198</v>
      </c>
      <c r="AP510" s="16">
        <f t="shared" si="383"/>
        <v>2.4952820297756344</v>
      </c>
      <c r="AQ510" s="16">
        <f t="shared" si="383"/>
        <v>0.8072971272803523</v>
      </c>
      <c r="AR510" s="16">
        <f t="shared" si="383"/>
        <v>0.19920318725099603</v>
      </c>
      <c r="AS510" s="16">
        <f>SUM(AH510:AR510)</f>
        <v>99.999999999999986</v>
      </c>
      <c r="AT510" s="16">
        <f>AL510+0.899*AK510</f>
        <v>7.928653805829315</v>
      </c>
      <c r="AY510" s="46"/>
      <c r="AZ510" s="41"/>
      <c r="BA510" s="48">
        <v>116</v>
      </c>
      <c r="BB510" s="41"/>
      <c r="BC510" s="48">
        <v>87</v>
      </c>
      <c r="BD510" s="41"/>
      <c r="BE510" s="48">
        <v>7</v>
      </c>
      <c r="BF510" s="41"/>
      <c r="BG510" s="48">
        <v>18</v>
      </c>
      <c r="BH510" s="41"/>
      <c r="BI510" s="48">
        <v>21</v>
      </c>
      <c r="BJ510" s="41"/>
      <c r="BK510" s="48">
        <v>117</v>
      </c>
      <c r="BL510" s="41"/>
      <c r="BM510" s="41"/>
      <c r="BN510" s="41"/>
      <c r="BO510" s="48">
        <v>63</v>
      </c>
      <c r="BP510" s="41"/>
      <c r="BQ510" s="48">
        <v>212</v>
      </c>
      <c r="BR510" s="46"/>
      <c r="BS510" s="48">
        <v>48</v>
      </c>
      <c r="BT510" s="41"/>
      <c r="BU510" s="48">
        <v>263</v>
      </c>
      <c r="BV510" s="41"/>
      <c r="BW510" s="48">
        <v>17</v>
      </c>
      <c r="CA510" s="46">
        <v>434</v>
      </c>
      <c r="CB510" s="46"/>
      <c r="CC510" s="46"/>
      <c r="CD510" s="46"/>
      <c r="CE510" s="46"/>
      <c r="CF510" s="46"/>
      <c r="CG510" s="46"/>
      <c r="CH510" s="46"/>
      <c r="CI510" s="46"/>
      <c r="CJ510" s="46"/>
      <c r="CK510" s="46"/>
      <c r="CL510" s="46"/>
      <c r="CM510" s="46"/>
      <c r="CN510" s="46"/>
      <c r="CO510" s="46"/>
      <c r="CP510" s="46"/>
      <c r="CQ510" s="46"/>
      <c r="CR510" s="46"/>
      <c r="CS510" s="46"/>
      <c r="CT510" s="46"/>
    </row>
    <row r="511" spans="1:98">
      <c r="A511" s="1" t="s">
        <v>289</v>
      </c>
      <c r="B511" s="4" t="s">
        <v>290</v>
      </c>
      <c r="C511" s="46" t="s">
        <v>468</v>
      </c>
      <c r="D511" s="63">
        <v>67.22</v>
      </c>
      <c r="E511" s="63">
        <v>2.93</v>
      </c>
      <c r="F511" s="1" t="s">
        <v>309</v>
      </c>
      <c r="G511" s="46" t="s">
        <v>122</v>
      </c>
      <c r="J511" s="38" t="s">
        <v>420</v>
      </c>
      <c r="L511" s="1" t="s">
        <v>514</v>
      </c>
      <c r="M511" s="78" t="s">
        <v>868</v>
      </c>
      <c r="N511" s="78"/>
      <c r="R511" s="47">
        <v>59.43</v>
      </c>
      <c r="S511" s="47">
        <v>1.45</v>
      </c>
      <c r="T511" s="47">
        <v>17.77</v>
      </c>
      <c r="U511" s="47">
        <v>10.050000000000001</v>
      </c>
      <c r="V511" s="47"/>
      <c r="W511" s="47">
        <v>0.06</v>
      </c>
      <c r="X511" s="47">
        <v>1.63</v>
      </c>
      <c r="Y511" s="47">
        <v>4.57</v>
      </c>
      <c r="Z511" s="47">
        <v>2.73</v>
      </c>
      <c r="AA511" s="47">
        <v>0.56000000000000005</v>
      </c>
      <c r="AB511" s="47">
        <v>0.19</v>
      </c>
      <c r="AC511" s="9">
        <v>1.77</v>
      </c>
      <c r="AD511" s="23">
        <f>SUM(R511:AB511)+AC511</f>
        <v>100.21000000000001</v>
      </c>
      <c r="AE511" s="21">
        <f>V511+0.899*U511</f>
        <v>9.0349500000000003</v>
      </c>
      <c r="AF511" s="23">
        <f>(X511/40.3)/((X511/40.3)+(AE511/71.844))</f>
        <v>0.24335466156906149</v>
      </c>
      <c r="AH511" s="16">
        <f t="shared" si="383"/>
        <v>60.371800081267772</v>
      </c>
      <c r="AI511" s="16">
        <f t="shared" si="383"/>
        <v>1.4729784640390085</v>
      </c>
      <c r="AJ511" s="16">
        <f t="shared" si="383"/>
        <v>18.051605038602194</v>
      </c>
      <c r="AK511" s="16">
        <f t="shared" si="383"/>
        <v>10.209264526615197</v>
      </c>
      <c r="AL511" s="16">
        <f t="shared" si="383"/>
        <v>0</v>
      </c>
      <c r="AM511" s="16">
        <f t="shared" si="383"/>
        <v>6.0950832994717589E-2</v>
      </c>
      <c r="AN511" s="16">
        <f t="shared" si="383"/>
        <v>1.6558309630231611</v>
      </c>
      <c r="AO511" s="16">
        <f t="shared" si="383"/>
        <v>4.642421779764323</v>
      </c>
      <c r="AP511" s="16">
        <f t="shared" si="383"/>
        <v>2.7732629012596504</v>
      </c>
      <c r="AQ511" s="16">
        <f t="shared" si="383"/>
        <v>0.56887444128403086</v>
      </c>
      <c r="AR511" s="16">
        <f t="shared" si="383"/>
        <v>0.19301097114993904</v>
      </c>
      <c r="AS511" s="16">
        <f>SUM(AH511:AR511)</f>
        <v>100.00000000000001</v>
      </c>
      <c r="AT511" s="16">
        <f>AL511+0.899*AK511</f>
        <v>9.1781288094270614</v>
      </c>
      <c r="AY511" s="46">
        <v>32</v>
      </c>
      <c r="AZ511" s="41"/>
      <c r="BA511" s="48">
        <v>154</v>
      </c>
      <c r="BB511" s="41"/>
      <c r="BC511" s="48">
        <v>78</v>
      </c>
      <c r="BD511" s="41"/>
      <c r="BE511" s="48">
        <v>18</v>
      </c>
      <c r="BF511" s="41"/>
      <c r="BG511" s="48">
        <v>16</v>
      </c>
      <c r="BH511" s="41"/>
      <c r="BI511" s="48">
        <v>16</v>
      </c>
      <c r="BJ511" s="41"/>
      <c r="BK511" s="48">
        <v>73</v>
      </c>
      <c r="BL511" s="41"/>
      <c r="BM511" s="41"/>
      <c r="BN511" s="41"/>
      <c r="BO511" s="48">
        <v>16</v>
      </c>
      <c r="BP511" s="41"/>
      <c r="BQ511" s="48">
        <v>230</v>
      </c>
      <c r="BR511" s="48"/>
      <c r="BS511" s="48">
        <v>67</v>
      </c>
      <c r="BT511" s="41"/>
      <c r="BU511" s="48">
        <v>331</v>
      </c>
      <c r="BV511" s="41"/>
      <c r="BW511" s="48">
        <v>24</v>
      </c>
      <c r="CA511" s="46">
        <v>429</v>
      </c>
      <c r="CB511" s="46"/>
      <c r="CC511" s="46"/>
      <c r="CD511" s="46"/>
      <c r="CE511" s="46"/>
      <c r="CF511" s="46"/>
      <c r="CG511" s="46"/>
      <c r="CH511" s="46"/>
      <c r="CI511" s="46"/>
      <c r="CJ511" s="46"/>
      <c r="CK511" s="46"/>
      <c r="CL511" s="46"/>
      <c r="CM511" s="46"/>
      <c r="CN511" s="46"/>
      <c r="CO511" s="46"/>
      <c r="CP511" s="46"/>
      <c r="CQ511" s="46"/>
      <c r="CR511" s="46">
        <v>26</v>
      </c>
      <c r="CS511" s="46"/>
      <c r="CT511" s="46"/>
    </row>
    <row r="512" spans="1:98">
      <c r="A512" s="1" t="s">
        <v>289</v>
      </c>
      <c r="B512" s="4" t="s">
        <v>290</v>
      </c>
      <c r="C512" s="40" t="s">
        <v>123</v>
      </c>
      <c r="D512" s="63">
        <v>67.22</v>
      </c>
      <c r="E512" s="63">
        <v>2.93</v>
      </c>
      <c r="F512" s="1" t="s">
        <v>309</v>
      </c>
      <c r="G512" s="4" t="s">
        <v>122</v>
      </c>
      <c r="H512" s="4"/>
      <c r="J512" s="38" t="s">
        <v>420</v>
      </c>
      <c r="K512" s="40"/>
      <c r="L512" s="4" t="s">
        <v>423</v>
      </c>
      <c r="M512" s="78" t="s">
        <v>867</v>
      </c>
      <c r="N512" s="78"/>
      <c r="O512" s="40"/>
      <c r="P512" s="4"/>
      <c r="Q512" s="4"/>
      <c r="R512" s="4">
        <v>66.069999999999993</v>
      </c>
      <c r="S512" s="4">
        <v>1.26</v>
      </c>
      <c r="T512" s="4">
        <v>15.4</v>
      </c>
      <c r="U512" s="4">
        <v>8.81</v>
      </c>
      <c r="W512" s="4">
        <v>0.1</v>
      </c>
      <c r="X512" s="4">
        <v>1.73</v>
      </c>
      <c r="Y512" s="4">
        <v>3.75</v>
      </c>
      <c r="Z512" s="4">
        <v>2.46</v>
      </c>
      <c r="AA512" s="4">
        <v>0.81</v>
      </c>
      <c r="AB512" s="4">
        <v>0.2</v>
      </c>
      <c r="AD512" s="23">
        <f>SUM(R512:AB512)+AC512</f>
        <v>100.59</v>
      </c>
      <c r="AE512" s="21">
        <f>V512+0.899*U512</f>
        <v>7.9201900000000007</v>
      </c>
      <c r="AF512" s="23">
        <f>(X512/40.3)/((X512/40.3)+(AE512/71.844))</f>
        <v>0.28026486896428149</v>
      </c>
      <c r="AG512" s="45"/>
      <c r="AH512" s="16">
        <f t="shared" si="383"/>
        <v>65.682473406899277</v>
      </c>
      <c r="AI512" s="16">
        <f t="shared" si="383"/>
        <v>1.2526096033402923</v>
      </c>
      <c r="AJ512" s="16">
        <f t="shared" si="383"/>
        <v>15.309672929714683</v>
      </c>
      <c r="AK512" s="16">
        <f t="shared" si="383"/>
        <v>8.7583258773237898</v>
      </c>
      <c r="AL512" s="16">
        <f t="shared" si="383"/>
        <v>0</v>
      </c>
      <c r="AM512" s="16">
        <f t="shared" si="383"/>
        <v>9.9413460582562882E-2</v>
      </c>
      <c r="AN512" s="16">
        <f t="shared" si="383"/>
        <v>1.7198528680783378</v>
      </c>
      <c r="AO512" s="16">
        <f t="shared" si="383"/>
        <v>3.7280047718461078</v>
      </c>
      <c r="AP512" s="16">
        <f t="shared" si="383"/>
        <v>2.4455711303310466</v>
      </c>
      <c r="AQ512" s="16">
        <f t="shared" si="383"/>
        <v>0.80524903071875931</v>
      </c>
      <c r="AR512" s="16">
        <f t="shared" si="383"/>
        <v>0.19882692116512576</v>
      </c>
      <c r="AS512" s="16">
        <f>SUM(AH512:AR512)</f>
        <v>99.999999999999957</v>
      </c>
      <c r="AT512" s="16">
        <f>AL512+0.899*AK512</f>
        <v>7.873734963714087</v>
      </c>
      <c r="AU512" s="45"/>
      <c r="AV512" s="4"/>
      <c r="AY512" s="39">
        <v>27.06</v>
      </c>
      <c r="BR512" s="39">
        <v>46.56</v>
      </c>
      <c r="BS512" s="39"/>
      <c r="BT512" s="39">
        <v>304.83999999999997</v>
      </c>
      <c r="BV512" s="39">
        <v>21.9</v>
      </c>
      <c r="BW512" s="39"/>
      <c r="CA512" s="39">
        <v>489.79</v>
      </c>
      <c r="CB512" s="39">
        <v>34.369999999999997</v>
      </c>
      <c r="CC512" s="39">
        <v>79.739999999999995</v>
      </c>
      <c r="CD512" s="39">
        <v>10.09</v>
      </c>
      <c r="CE512" s="39">
        <v>37.36</v>
      </c>
      <c r="CF512" s="39">
        <v>7.98</v>
      </c>
      <c r="CG512" s="39">
        <v>1.35</v>
      </c>
      <c r="CH512" s="39">
        <v>8.34</v>
      </c>
      <c r="CI512" s="39">
        <v>1.41</v>
      </c>
      <c r="CJ512" s="39">
        <v>7.84</v>
      </c>
      <c r="CK512" s="39">
        <v>1.69</v>
      </c>
      <c r="CL512" s="39">
        <v>4.75</v>
      </c>
      <c r="CM512" s="39">
        <v>0.78</v>
      </c>
      <c r="CN512" s="39">
        <v>4.82</v>
      </c>
      <c r="CO512" s="39">
        <v>0.73</v>
      </c>
      <c r="CP512" s="39">
        <v>7.55</v>
      </c>
      <c r="CQ512" s="39">
        <v>1.37</v>
      </c>
      <c r="CR512" s="39">
        <v>27.93</v>
      </c>
      <c r="CS512" s="39">
        <v>12.03</v>
      </c>
      <c r="CT512" s="39">
        <v>3.17</v>
      </c>
    </row>
    <row r="513" spans="1:98">
      <c r="A513" s="1" t="s">
        <v>289</v>
      </c>
      <c r="B513" s="4" t="s">
        <v>290</v>
      </c>
      <c r="C513" s="40" t="s">
        <v>95</v>
      </c>
      <c r="D513" s="63">
        <v>67.22</v>
      </c>
      <c r="E513" s="63">
        <v>2.93</v>
      </c>
      <c r="F513" s="1" t="s">
        <v>309</v>
      </c>
      <c r="G513" s="4" t="s">
        <v>96</v>
      </c>
      <c r="H513" s="4"/>
      <c r="J513" s="38" t="s">
        <v>420</v>
      </c>
      <c r="K513" s="40"/>
      <c r="L513" s="4" t="s">
        <v>423</v>
      </c>
      <c r="M513" s="78" t="s">
        <v>867</v>
      </c>
      <c r="N513" s="78"/>
      <c r="O513" s="40"/>
      <c r="P513" s="4"/>
      <c r="Q513" s="4"/>
      <c r="R513" s="4">
        <v>56.25</v>
      </c>
      <c r="S513" s="4">
        <v>1.33</v>
      </c>
      <c r="T513" s="4">
        <v>10.15</v>
      </c>
      <c r="U513" s="4">
        <v>11.37</v>
      </c>
      <c r="W513" s="4">
        <v>0.24</v>
      </c>
      <c r="X513" s="4">
        <v>7.17</v>
      </c>
      <c r="Y513" s="4">
        <v>10.83</v>
      </c>
      <c r="Z513" s="4">
        <v>2.29</v>
      </c>
      <c r="AA513" s="4">
        <v>0.25</v>
      </c>
      <c r="AB513" s="4">
        <v>0.12</v>
      </c>
      <c r="AD513" s="23">
        <f>SUM(R513:AB513)+AC513</f>
        <v>100.00000000000001</v>
      </c>
      <c r="AE513" s="21">
        <f>V513+0.899*U513</f>
        <v>10.221629999999999</v>
      </c>
      <c r="AF513" s="23">
        <f>(X513/40.3)/((X513/40.3)+(AE513/71.844))</f>
        <v>0.55565473181614244</v>
      </c>
      <c r="AG513" s="45"/>
      <c r="AH513" s="16">
        <f t="shared" si="383"/>
        <v>56.249999999999993</v>
      </c>
      <c r="AI513" s="16">
        <f t="shared" si="383"/>
        <v>1.3299999999999998</v>
      </c>
      <c r="AJ513" s="16">
        <f t="shared" si="383"/>
        <v>10.149999999999999</v>
      </c>
      <c r="AK513" s="16">
        <f t="shared" si="383"/>
        <v>11.37</v>
      </c>
      <c r="AL513" s="16">
        <f t="shared" si="383"/>
        <v>0</v>
      </c>
      <c r="AM513" s="16">
        <f t="shared" si="383"/>
        <v>0.23999999999999996</v>
      </c>
      <c r="AN513" s="16">
        <f t="shared" si="383"/>
        <v>7.169999999999999</v>
      </c>
      <c r="AO513" s="16">
        <f t="shared" si="383"/>
        <v>10.829999999999998</v>
      </c>
      <c r="AP513" s="16">
        <f t="shared" si="383"/>
        <v>2.2899999999999996</v>
      </c>
      <c r="AQ513" s="16">
        <f t="shared" si="383"/>
        <v>0.24999999999999997</v>
      </c>
      <c r="AR513" s="16">
        <f t="shared" si="383"/>
        <v>0.11999999999999998</v>
      </c>
      <c r="AS513" s="16">
        <f>SUM(AH513:AR513)</f>
        <v>100</v>
      </c>
      <c r="AT513" s="16">
        <f>AL513+0.899*AK513</f>
        <v>10.221629999999999</v>
      </c>
      <c r="AU513" s="45"/>
      <c r="AV513" s="4"/>
      <c r="AY513" s="39">
        <v>38.03</v>
      </c>
      <c r="BR513" s="39">
        <v>38.909999999999997</v>
      </c>
      <c r="BS513" s="39"/>
      <c r="BT513" s="39">
        <v>77.81</v>
      </c>
      <c r="BV513" s="39">
        <v>2.93</v>
      </c>
      <c r="BW513" s="39"/>
      <c r="CA513" s="39">
        <v>9.33</v>
      </c>
      <c r="CB513" s="39">
        <v>5.21</v>
      </c>
      <c r="CC513" s="39">
        <v>10.86</v>
      </c>
      <c r="CD513" s="39">
        <v>1.4</v>
      </c>
      <c r="CE513" s="39">
        <v>7.5</v>
      </c>
      <c r="CF513" s="39">
        <v>2.67</v>
      </c>
      <c r="CG513" s="39">
        <v>0.94</v>
      </c>
      <c r="CH513" s="39">
        <v>4.13</v>
      </c>
      <c r="CI513" s="39">
        <v>0.91</v>
      </c>
      <c r="CJ513" s="39">
        <v>5.87</v>
      </c>
      <c r="CK513" s="39">
        <v>1.36</v>
      </c>
      <c r="CL513" s="39">
        <v>4.08</v>
      </c>
      <c r="CM513" s="39">
        <v>0.68</v>
      </c>
      <c r="CN513" s="39">
        <v>4.17</v>
      </c>
      <c r="CO513" s="39">
        <v>0.63</v>
      </c>
      <c r="CP513" s="39">
        <v>2.3199999999999998</v>
      </c>
      <c r="CQ513" s="39">
        <v>0.18</v>
      </c>
      <c r="CR513" s="39">
        <v>3.57</v>
      </c>
      <c r="CS513" s="39">
        <v>1.1399999999999999</v>
      </c>
      <c r="CT513" s="39">
        <v>0.28000000000000003</v>
      </c>
    </row>
    <row r="514" spans="1:98">
      <c r="A514" s="1" t="s">
        <v>289</v>
      </c>
      <c r="B514" s="4" t="s">
        <v>290</v>
      </c>
      <c r="C514" s="40" t="s">
        <v>95</v>
      </c>
      <c r="D514" s="63">
        <v>67.22</v>
      </c>
      <c r="E514" s="63">
        <v>2.93</v>
      </c>
      <c r="F514" s="1" t="s">
        <v>309</v>
      </c>
      <c r="G514" s="4" t="s">
        <v>96</v>
      </c>
      <c r="H514" s="4"/>
      <c r="J514" s="38" t="s">
        <v>420</v>
      </c>
      <c r="K514" s="40"/>
      <c r="L514" s="4" t="s">
        <v>423</v>
      </c>
      <c r="M514" s="78" t="s">
        <v>867</v>
      </c>
      <c r="N514" s="78"/>
      <c r="O514" s="4"/>
      <c r="P514" s="4"/>
      <c r="Q514" s="4"/>
      <c r="AD514" s="23"/>
      <c r="AE514" s="23"/>
      <c r="AF514" s="23"/>
      <c r="AG514" s="45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45"/>
      <c r="AV514" s="4"/>
      <c r="AY514" s="39"/>
      <c r="BR514" s="39">
        <v>36.82</v>
      </c>
      <c r="BS514" s="39"/>
      <c r="BT514" s="39">
        <v>65.33</v>
      </c>
      <c r="BV514" s="39">
        <v>3.02</v>
      </c>
      <c r="BW514" s="39"/>
      <c r="CA514" s="39">
        <v>53.46</v>
      </c>
      <c r="CB514" s="39">
        <v>5.09</v>
      </c>
      <c r="CC514" s="39">
        <v>10.91</v>
      </c>
      <c r="CD514" s="39">
        <v>1.44</v>
      </c>
      <c r="CE514" s="39">
        <v>7.34</v>
      </c>
      <c r="CF514" s="39">
        <v>2.67</v>
      </c>
      <c r="CG514" s="39">
        <v>0.94</v>
      </c>
      <c r="CH514" s="39">
        <v>3.74</v>
      </c>
      <c r="CI514" s="39">
        <v>0.82</v>
      </c>
      <c r="CJ514" s="39">
        <v>5.84</v>
      </c>
      <c r="CK514" s="39">
        <v>1.34</v>
      </c>
      <c r="CL514" s="39">
        <v>4.0599999999999996</v>
      </c>
      <c r="CM514" s="39">
        <v>0.68</v>
      </c>
      <c r="CN514" s="39">
        <v>4.07</v>
      </c>
      <c r="CO514" s="39">
        <v>0.63</v>
      </c>
      <c r="CP514" s="39">
        <v>1.95</v>
      </c>
      <c r="CQ514" s="39">
        <v>0.16</v>
      </c>
      <c r="CR514" s="39">
        <v>3.73</v>
      </c>
      <c r="CS514" s="39">
        <v>0.56999999999999995</v>
      </c>
      <c r="CT514" s="39">
        <v>0.28999999999999998</v>
      </c>
    </row>
    <row r="515" spans="1:98">
      <c r="A515" s="1" t="s">
        <v>289</v>
      </c>
      <c r="B515" s="4" t="s">
        <v>290</v>
      </c>
      <c r="C515" s="38" t="s">
        <v>95</v>
      </c>
      <c r="D515" s="63">
        <v>67.22</v>
      </c>
      <c r="E515" s="63">
        <v>2.93</v>
      </c>
      <c r="F515" s="1" t="s">
        <v>309</v>
      </c>
      <c r="G515" s="38" t="s">
        <v>96</v>
      </c>
      <c r="H515" s="38"/>
      <c r="I515" s="39"/>
      <c r="J515" s="38" t="s">
        <v>420</v>
      </c>
      <c r="K515" s="37"/>
      <c r="L515" s="4" t="s">
        <v>423</v>
      </c>
      <c r="M515" s="78" t="s">
        <v>867</v>
      </c>
      <c r="N515" s="78"/>
      <c r="O515" s="16" t="s">
        <v>82</v>
      </c>
      <c r="P515" s="12"/>
      <c r="Q515" s="16"/>
      <c r="R515" s="25"/>
      <c r="S515" s="25"/>
      <c r="T515" s="25"/>
      <c r="U515" s="25"/>
      <c r="V515" s="26"/>
      <c r="W515" s="25"/>
      <c r="X515" s="25"/>
      <c r="Y515" s="25"/>
      <c r="Z515" s="25"/>
      <c r="AA515" s="25"/>
      <c r="AB515" s="25"/>
      <c r="AC515" s="15"/>
      <c r="AD515" s="23"/>
      <c r="AE515" s="23"/>
      <c r="AF515" s="23"/>
      <c r="AG515" s="45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45"/>
      <c r="AV515" s="16"/>
      <c r="AW515" s="15"/>
      <c r="AX515" s="15"/>
      <c r="AY515" s="39">
        <v>62.43</v>
      </c>
      <c r="AZ515" s="39">
        <v>497.67</v>
      </c>
      <c r="BA515" s="39"/>
      <c r="BB515" s="15"/>
      <c r="BC515" s="15"/>
      <c r="BD515" s="39">
        <v>48.69</v>
      </c>
      <c r="BE515" s="39"/>
      <c r="BF515" s="15"/>
      <c r="BG515" s="39">
        <v>60.45</v>
      </c>
      <c r="BH515" s="39">
        <v>64.36</v>
      </c>
      <c r="BI515" s="39"/>
      <c r="BJ515" s="39">
        <v>126.8</v>
      </c>
      <c r="BK515" s="39"/>
      <c r="BL515" s="39">
        <v>5.05</v>
      </c>
      <c r="BM515" s="39"/>
      <c r="BN515" s="15"/>
      <c r="BO515" s="15"/>
      <c r="BP515" s="15"/>
      <c r="BQ515" s="39">
        <v>61.91</v>
      </c>
      <c r="BR515" s="39">
        <v>36.71</v>
      </c>
      <c r="BS515" s="15"/>
      <c r="BT515" s="39">
        <v>65.77</v>
      </c>
      <c r="BV515" s="39">
        <v>2.74</v>
      </c>
      <c r="BW515" s="39"/>
      <c r="BX515" s="15"/>
      <c r="BY515" s="15"/>
      <c r="BZ515" s="39">
        <v>0.56000000000000005</v>
      </c>
      <c r="CA515" s="39">
        <v>59.88</v>
      </c>
      <c r="CB515" s="39">
        <v>4.38</v>
      </c>
      <c r="CC515" s="39">
        <v>10.82</v>
      </c>
      <c r="CD515" s="39">
        <v>1.31</v>
      </c>
      <c r="CE515" s="39">
        <v>7.38</v>
      </c>
      <c r="CF515" s="39">
        <v>2.61</v>
      </c>
      <c r="CG515" s="39">
        <v>0.83</v>
      </c>
      <c r="CH515" s="39">
        <v>3.55</v>
      </c>
      <c r="CI515" s="39">
        <v>0.81</v>
      </c>
      <c r="CJ515" s="39">
        <v>5.27</v>
      </c>
      <c r="CK515" s="39">
        <v>1.21</v>
      </c>
      <c r="CL515" s="39">
        <v>3.7</v>
      </c>
      <c r="CM515" s="39">
        <v>0.73</v>
      </c>
      <c r="CN515" s="39">
        <v>3.71</v>
      </c>
      <c r="CO515" s="39">
        <v>0.56999999999999995</v>
      </c>
      <c r="CP515" s="39">
        <v>1.94</v>
      </c>
      <c r="CQ515" s="39">
        <v>0.21</v>
      </c>
      <c r="CR515" s="39">
        <v>3.27</v>
      </c>
      <c r="CS515" s="39">
        <v>0.87</v>
      </c>
      <c r="CT515" s="39">
        <v>0.18</v>
      </c>
    </row>
    <row r="516" spans="1:98">
      <c r="A516" s="1" t="s">
        <v>289</v>
      </c>
      <c r="B516" s="4" t="s">
        <v>290</v>
      </c>
      <c r="C516" s="46" t="s">
        <v>466</v>
      </c>
      <c r="D516" s="63">
        <v>67.22</v>
      </c>
      <c r="E516" s="63">
        <v>2.93</v>
      </c>
      <c r="F516" s="1" t="s">
        <v>309</v>
      </c>
      <c r="G516" s="46" t="s">
        <v>96</v>
      </c>
      <c r="J516" s="38" t="s">
        <v>420</v>
      </c>
      <c r="L516" s="1" t="s">
        <v>514</v>
      </c>
      <c r="M516" s="78" t="s">
        <v>868</v>
      </c>
      <c r="N516" s="78"/>
      <c r="R516" s="47">
        <v>51.8</v>
      </c>
      <c r="S516" s="47">
        <v>1.2</v>
      </c>
      <c r="T516" s="47">
        <v>13.3</v>
      </c>
      <c r="U516" s="47">
        <v>13.7</v>
      </c>
      <c r="V516" s="47"/>
      <c r="W516" s="47">
        <v>0.23379391100702576</v>
      </c>
      <c r="X516" s="47">
        <v>6.67</v>
      </c>
      <c r="Y516" s="47">
        <v>10.4</v>
      </c>
      <c r="Z516" s="47">
        <v>2.52</v>
      </c>
      <c r="AA516" s="47">
        <v>0.22</v>
      </c>
      <c r="AB516" s="47">
        <v>0.09</v>
      </c>
      <c r="AC516" s="9">
        <v>0.25</v>
      </c>
      <c r="AD516" s="23">
        <f>SUM(R516:AB516)+AC516</f>
        <v>100.38379391100703</v>
      </c>
      <c r="AE516" s="21">
        <f>V516+0.899*U516</f>
        <v>12.3163</v>
      </c>
      <c r="AF516" s="23">
        <f>(X516/40.3)/((X516/40.3)+(AE516/71.844))</f>
        <v>0.49121138137185627</v>
      </c>
      <c r="AH516" s="16">
        <f t="shared" ref="AH516:AR516" si="384">100*R516/SUM($R516:$AB516)</f>
        <v>51.730787356401137</v>
      </c>
      <c r="AI516" s="16">
        <f t="shared" si="384"/>
        <v>1.198396618295007</v>
      </c>
      <c r="AJ516" s="16">
        <f t="shared" si="384"/>
        <v>13.282229186102995</v>
      </c>
      <c r="AK516" s="16">
        <f t="shared" si="384"/>
        <v>13.681694725534664</v>
      </c>
      <c r="AL516" s="16">
        <f t="shared" si="384"/>
        <v>0</v>
      </c>
      <c r="AM516" s="16">
        <f t="shared" si="384"/>
        <v>0.23348152694065294</v>
      </c>
      <c r="AN516" s="16">
        <f t="shared" si="384"/>
        <v>6.6610878700230813</v>
      </c>
      <c r="AO516" s="16">
        <f t="shared" si="384"/>
        <v>10.386104025223394</v>
      </c>
      <c r="AP516" s="16">
        <f t="shared" si="384"/>
        <v>2.5166328984195148</v>
      </c>
      <c r="AQ516" s="16">
        <f t="shared" si="384"/>
        <v>0.21970604668741797</v>
      </c>
      <c r="AR516" s="16">
        <f t="shared" si="384"/>
        <v>8.9879746372125535E-2</v>
      </c>
      <c r="AS516" s="16">
        <f>SUM(AH516:AR516)</f>
        <v>99.999999999999986</v>
      </c>
      <c r="AT516" s="16">
        <f>AL516+0.899*AK516</f>
        <v>12.299843558255663</v>
      </c>
      <c r="AY516" s="46">
        <v>48</v>
      </c>
      <c r="AZ516" s="41"/>
      <c r="BA516" s="48">
        <v>461</v>
      </c>
      <c r="BB516" s="41"/>
      <c r="BC516" s="48">
        <v>127</v>
      </c>
      <c r="BD516" s="41"/>
      <c r="BE516" s="48">
        <v>50</v>
      </c>
      <c r="BF516" s="41"/>
      <c r="BG516" s="48">
        <v>58</v>
      </c>
      <c r="BH516" s="41"/>
      <c r="BI516" s="48">
        <v>63</v>
      </c>
      <c r="BJ516" s="41"/>
      <c r="BK516" s="48">
        <v>113</v>
      </c>
      <c r="BL516" s="41"/>
      <c r="BM516" s="41"/>
      <c r="BN516" s="41"/>
      <c r="BO516" s="48">
        <v>4</v>
      </c>
      <c r="BP516" s="41"/>
      <c r="BQ516" s="48">
        <v>65</v>
      </c>
      <c r="BR516" s="48"/>
      <c r="BS516" s="48">
        <v>32</v>
      </c>
      <c r="BT516" s="41"/>
      <c r="BU516" s="48">
        <v>68</v>
      </c>
      <c r="BV516" s="41"/>
      <c r="BW516" s="48">
        <v>3</v>
      </c>
      <c r="CA516" s="46"/>
      <c r="CB516" s="46">
        <v>4.93</v>
      </c>
      <c r="CC516" s="46">
        <v>8.25</v>
      </c>
      <c r="CD516" s="46"/>
      <c r="CE516" s="46">
        <v>8.14</v>
      </c>
      <c r="CF516" s="46">
        <v>3.28</v>
      </c>
      <c r="CG516" s="46">
        <v>0.89</v>
      </c>
      <c r="CH516" s="46"/>
      <c r="CI516" s="46">
        <v>0.97</v>
      </c>
      <c r="CJ516" s="46"/>
      <c r="CK516" s="46">
        <v>1.49</v>
      </c>
      <c r="CL516" s="46"/>
      <c r="CM516" s="46"/>
      <c r="CN516" s="46">
        <v>4.43</v>
      </c>
      <c r="CO516" s="46">
        <v>0.69</v>
      </c>
      <c r="CP516" s="46">
        <v>2.15</v>
      </c>
      <c r="CQ516" s="46">
        <v>0.25</v>
      </c>
      <c r="CR516" s="46"/>
      <c r="CS516" s="46">
        <v>1.56</v>
      </c>
      <c r="CT516" s="46">
        <v>0.23</v>
      </c>
    </row>
    <row r="517" spans="1:98">
      <c r="A517" s="1" t="s">
        <v>289</v>
      </c>
      <c r="B517" s="4" t="s">
        <v>290</v>
      </c>
      <c r="C517" s="40" t="s">
        <v>97</v>
      </c>
      <c r="D517" s="63">
        <v>67.22</v>
      </c>
      <c r="E517" s="63">
        <v>2.93</v>
      </c>
      <c r="F517" s="1" t="s">
        <v>309</v>
      </c>
      <c r="G517" s="4" t="s">
        <v>96</v>
      </c>
      <c r="H517" s="4"/>
      <c r="J517" s="38" t="s">
        <v>420</v>
      </c>
      <c r="K517" s="40"/>
      <c r="L517" s="4" t="s">
        <v>423</v>
      </c>
      <c r="M517" s="78" t="s">
        <v>867</v>
      </c>
      <c r="N517" s="78"/>
      <c r="O517" s="4"/>
      <c r="P517" s="4"/>
      <c r="Q517" s="4"/>
      <c r="AD517" s="23"/>
      <c r="AE517" s="23"/>
      <c r="AF517" s="23"/>
      <c r="AG517" s="45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45"/>
      <c r="AV517" s="4"/>
      <c r="AY517" s="39">
        <v>31.9</v>
      </c>
      <c r="BR517" s="39">
        <v>31.64</v>
      </c>
      <c r="BS517" s="39"/>
      <c r="BT517" s="39">
        <v>69.45</v>
      </c>
      <c r="BV517" s="39">
        <v>2.4</v>
      </c>
      <c r="BW517" s="39"/>
      <c r="CA517" s="39">
        <v>8.41</v>
      </c>
      <c r="CB517" s="39">
        <v>3.9</v>
      </c>
      <c r="CC517" s="39">
        <v>9.0500000000000007</v>
      </c>
      <c r="CD517" s="39">
        <v>1.1599999999999999</v>
      </c>
      <c r="CE517" s="39">
        <v>6.17</v>
      </c>
      <c r="CF517" s="39">
        <v>2.21</v>
      </c>
      <c r="CG517" s="39">
        <v>0.77</v>
      </c>
      <c r="CH517" s="39">
        <v>3.39</v>
      </c>
      <c r="CI517" s="39">
        <v>0.74</v>
      </c>
      <c r="CJ517" s="39">
        <v>4.79</v>
      </c>
      <c r="CK517" s="39">
        <v>1.1000000000000001</v>
      </c>
      <c r="CL517" s="39">
        <v>3.3</v>
      </c>
      <c r="CM517" s="39">
        <v>0.56000000000000005</v>
      </c>
      <c r="CN517" s="39">
        <v>3.38</v>
      </c>
      <c r="CO517" s="39">
        <v>0.5</v>
      </c>
      <c r="CP517" s="39">
        <v>2</v>
      </c>
      <c r="CQ517" s="39">
        <v>0.14000000000000001</v>
      </c>
      <c r="CR517" s="39">
        <v>2.0699999999999998</v>
      </c>
      <c r="CS517" s="39">
        <v>1.01</v>
      </c>
      <c r="CT517" s="39">
        <v>0.22</v>
      </c>
    </row>
    <row r="518" spans="1:98">
      <c r="A518" s="1" t="s">
        <v>289</v>
      </c>
      <c r="B518" s="4" t="s">
        <v>290</v>
      </c>
      <c r="C518" s="40" t="s">
        <v>97</v>
      </c>
      <c r="D518" s="63">
        <v>67.22</v>
      </c>
      <c r="E518" s="63">
        <v>2.93</v>
      </c>
      <c r="F518" s="1" t="s">
        <v>309</v>
      </c>
      <c r="G518" s="40" t="s">
        <v>103</v>
      </c>
      <c r="H518" s="40"/>
      <c r="I518" s="39"/>
      <c r="J518" s="38" t="s">
        <v>420</v>
      </c>
      <c r="K518" s="40"/>
      <c r="L518" s="4" t="s">
        <v>423</v>
      </c>
      <c r="M518" s="78" t="s">
        <v>867</v>
      </c>
      <c r="N518" s="78"/>
      <c r="P518" s="4"/>
      <c r="Q518" s="4"/>
      <c r="R518" s="4">
        <v>55.74</v>
      </c>
      <c r="S518" s="4">
        <v>1.3</v>
      </c>
      <c r="T518" s="4">
        <v>10.210000000000001</v>
      </c>
      <c r="U518" s="4">
        <v>11.38</v>
      </c>
      <c r="W518" s="4">
        <v>0.25</v>
      </c>
      <c r="X518" s="4">
        <v>7.62</v>
      </c>
      <c r="Y518" s="4">
        <v>10.91</v>
      </c>
      <c r="Z518" s="4">
        <v>2.2599999999999998</v>
      </c>
      <c r="AA518" s="4">
        <v>0.21</v>
      </c>
      <c r="AB518" s="4">
        <v>0.12</v>
      </c>
      <c r="AD518" s="23">
        <f>SUM(R518:AB518)+AC518</f>
        <v>100</v>
      </c>
      <c r="AE518" s="21">
        <f>V518+0.899*U518</f>
        <v>10.230620000000002</v>
      </c>
      <c r="AF518" s="23">
        <f>(X518/40.3)/((X518/40.3)+(AE518/71.844))</f>
        <v>0.57041310792982836</v>
      </c>
      <c r="AG518" s="45"/>
      <c r="AH518" s="16">
        <f t="shared" ref="AH518:AR518" si="385">100*R518/SUM($R518:$AB518)</f>
        <v>55.74</v>
      </c>
      <c r="AI518" s="16">
        <f t="shared" si="385"/>
        <v>1.3</v>
      </c>
      <c r="AJ518" s="16">
        <f t="shared" si="385"/>
        <v>10.210000000000001</v>
      </c>
      <c r="AK518" s="16">
        <f t="shared" si="385"/>
        <v>11.38</v>
      </c>
      <c r="AL518" s="16">
        <f t="shared" si="385"/>
        <v>0</v>
      </c>
      <c r="AM518" s="16">
        <f t="shared" si="385"/>
        <v>0.25</v>
      </c>
      <c r="AN518" s="16">
        <f t="shared" si="385"/>
        <v>7.62</v>
      </c>
      <c r="AO518" s="16">
        <f t="shared" si="385"/>
        <v>10.91</v>
      </c>
      <c r="AP518" s="16">
        <f t="shared" si="385"/>
        <v>2.2599999999999998</v>
      </c>
      <c r="AQ518" s="16">
        <f t="shared" si="385"/>
        <v>0.21</v>
      </c>
      <c r="AR518" s="16">
        <f t="shared" si="385"/>
        <v>0.12</v>
      </c>
      <c r="AS518" s="16">
        <f>SUM(AH518:AR518)</f>
        <v>100</v>
      </c>
      <c r="AT518" s="16">
        <f>AL518+0.899*AK518</f>
        <v>10.230620000000002</v>
      </c>
      <c r="AU518" s="45"/>
      <c r="AV518" s="4"/>
      <c r="AY518" s="39"/>
      <c r="BS518" s="39"/>
      <c r="BT518" s="39"/>
      <c r="BU518" s="39"/>
      <c r="BV518" s="39"/>
      <c r="BW518" s="39"/>
      <c r="CA518" s="39"/>
      <c r="CB518" s="39"/>
      <c r="CC518" s="39"/>
      <c r="CD518" s="39"/>
      <c r="CE518" s="39"/>
      <c r="CF518" s="39"/>
      <c r="CG518" s="39"/>
      <c r="CH518" s="39"/>
      <c r="CI518" s="39"/>
      <c r="CJ518" s="39"/>
      <c r="CK518" s="39"/>
      <c r="CL518" s="39"/>
      <c r="CM518" s="39"/>
      <c r="CN518" s="39"/>
      <c r="CO518" s="39"/>
      <c r="CP518" s="39"/>
      <c r="CQ518" s="39"/>
      <c r="CR518" s="39"/>
      <c r="CS518" s="39"/>
      <c r="CT518" s="39"/>
    </row>
    <row r="519" spans="1:98">
      <c r="A519" s="1" t="s">
        <v>289</v>
      </c>
      <c r="B519" s="4" t="s">
        <v>290</v>
      </c>
      <c r="C519" s="38" t="s">
        <v>97</v>
      </c>
      <c r="D519" s="63">
        <v>67.22</v>
      </c>
      <c r="E519" s="63">
        <v>2.93</v>
      </c>
      <c r="F519" s="1" t="s">
        <v>309</v>
      </c>
      <c r="G519" s="38" t="s">
        <v>96</v>
      </c>
      <c r="H519" s="38"/>
      <c r="I519" s="39"/>
      <c r="J519" s="38" t="s">
        <v>420</v>
      </c>
      <c r="K519" s="37"/>
      <c r="L519" s="4" t="s">
        <v>423</v>
      </c>
      <c r="M519" s="78" t="s">
        <v>867</v>
      </c>
      <c r="N519" s="78"/>
      <c r="O519" s="16" t="s">
        <v>82</v>
      </c>
      <c r="P519" s="12"/>
      <c r="Q519" s="16"/>
      <c r="R519" s="25"/>
      <c r="S519" s="25"/>
      <c r="T519" s="25"/>
      <c r="U519" s="25"/>
      <c r="V519" s="26"/>
      <c r="W519" s="25"/>
      <c r="X519" s="25"/>
      <c r="Y519" s="25"/>
      <c r="Z519" s="25"/>
      <c r="AA519" s="25"/>
      <c r="AB519" s="25"/>
      <c r="AC519" s="15"/>
      <c r="AD519" s="23"/>
      <c r="AE519" s="23"/>
      <c r="AF519" s="23"/>
      <c r="AG519" s="45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45"/>
      <c r="AV519" s="16"/>
      <c r="AW519" s="15"/>
      <c r="AX519" s="15"/>
      <c r="AY519" s="39">
        <v>64.180000000000007</v>
      </c>
      <c r="AZ519" s="39">
        <v>484.54</v>
      </c>
      <c r="BA519" s="39"/>
      <c r="BB519" s="15"/>
      <c r="BC519" s="15"/>
      <c r="BD519" s="39">
        <v>52.53</v>
      </c>
      <c r="BE519" s="39"/>
      <c r="BF519" s="15"/>
      <c r="BG519" s="39">
        <v>95.24</v>
      </c>
      <c r="BH519" s="39">
        <v>70.36</v>
      </c>
      <c r="BI519" s="39"/>
      <c r="BJ519" s="39">
        <v>123.08</v>
      </c>
      <c r="BK519" s="39"/>
      <c r="BL519" s="39">
        <v>5.17</v>
      </c>
      <c r="BM519" s="39"/>
      <c r="BN519" s="15"/>
      <c r="BO519" s="15"/>
      <c r="BP519" s="15"/>
      <c r="BQ519" s="39">
        <v>65.36</v>
      </c>
      <c r="BR519" s="39">
        <v>38.9</v>
      </c>
      <c r="BS519" s="15"/>
      <c r="BT519" s="39">
        <v>67.06</v>
      </c>
      <c r="BV519" s="39">
        <v>6.6</v>
      </c>
      <c r="BW519" s="39"/>
      <c r="BX519" s="15"/>
      <c r="BY519" s="15"/>
      <c r="BZ519" s="39">
        <v>0.42</v>
      </c>
      <c r="CA519" s="39">
        <v>59.03</v>
      </c>
      <c r="CB519" s="39">
        <v>4.66</v>
      </c>
      <c r="CC519" s="39">
        <v>11.45</v>
      </c>
      <c r="CD519" s="39">
        <v>1.39</v>
      </c>
      <c r="CE519" s="39">
        <v>7.73</v>
      </c>
      <c r="CF519" s="39">
        <v>2.62</v>
      </c>
      <c r="CG519" s="39">
        <v>0.94</v>
      </c>
      <c r="CH519" s="39">
        <v>3.82</v>
      </c>
      <c r="CI519" s="39">
        <v>0.87</v>
      </c>
      <c r="CJ519" s="39">
        <v>5.49</v>
      </c>
      <c r="CK519" s="39">
        <v>1.33</v>
      </c>
      <c r="CL519" s="39">
        <v>3.9</v>
      </c>
      <c r="CM519" s="39">
        <v>0.74</v>
      </c>
      <c r="CN519" s="39">
        <v>3.96</v>
      </c>
      <c r="CO519" s="39">
        <v>0.6</v>
      </c>
      <c r="CP519" s="39">
        <v>1.97</v>
      </c>
      <c r="CQ519" s="39">
        <v>0.46</v>
      </c>
      <c r="CR519" s="39">
        <v>3.24</v>
      </c>
      <c r="CS519" s="39">
        <v>0.95</v>
      </c>
      <c r="CT519" s="39">
        <v>0.19</v>
      </c>
    </row>
    <row r="520" spans="1:98">
      <c r="A520" s="1" t="s">
        <v>289</v>
      </c>
      <c r="B520" s="4" t="s">
        <v>290</v>
      </c>
      <c r="C520" s="46" t="s">
        <v>464</v>
      </c>
      <c r="D520" s="63">
        <v>67.22</v>
      </c>
      <c r="E520" s="63">
        <v>2.93</v>
      </c>
      <c r="F520" s="1" t="s">
        <v>309</v>
      </c>
      <c r="G520" s="46" t="s">
        <v>96</v>
      </c>
      <c r="J520" s="38" t="s">
        <v>420</v>
      </c>
      <c r="L520" s="1" t="s">
        <v>514</v>
      </c>
      <c r="M520" s="78" t="s">
        <v>868</v>
      </c>
      <c r="N520" s="78"/>
      <c r="R520" s="47">
        <v>48.9</v>
      </c>
      <c r="S520" s="47">
        <v>1.07</v>
      </c>
      <c r="T520" s="47">
        <v>13.28</v>
      </c>
      <c r="U520" s="47">
        <v>5.53</v>
      </c>
      <c r="V520" s="47">
        <v>7.66</v>
      </c>
      <c r="W520" s="47">
        <v>0.21</v>
      </c>
      <c r="X520" s="47">
        <v>8.43</v>
      </c>
      <c r="Y520" s="47">
        <v>9.84</v>
      </c>
      <c r="Z520" s="47">
        <v>2.09</v>
      </c>
      <c r="AA520" s="47">
        <v>0.11</v>
      </c>
      <c r="AB520" s="47">
        <v>0.1</v>
      </c>
      <c r="AD520" s="23">
        <f>SUM(R520:AB520)+AC520</f>
        <v>97.219999999999985</v>
      </c>
      <c r="AE520" s="21">
        <f>V520+0.899*U520</f>
        <v>12.63147</v>
      </c>
      <c r="AF520" s="23">
        <f>(X520/40.3)/((X520/40.3)+(AE520/71.844))</f>
        <v>0.54332882015412309</v>
      </c>
      <c r="AH520" s="16">
        <f t="shared" ref="AH520:AR520" si="386">100*R520/SUM($R520:$AB520)</f>
        <v>50.298292532400751</v>
      </c>
      <c r="AI520" s="16">
        <f t="shared" si="386"/>
        <v>1.1005965850648016</v>
      </c>
      <c r="AJ520" s="16">
        <f t="shared" si="386"/>
        <v>13.659740794075296</v>
      </c>
      <c r="AK520" s="16">
        <f t="shared" si="386"/>
        <v>5.6881300144003299</v>
      </c>
      <c r="AL520" s="16">
        <f t="shared" si="386"/>
        <v>7.8790372351368045</v>
      </c>
      <c r="AM520" s="16">
        <f t="shared" si="386"/>
        <v>0.21600493725570874</v>
      </c>
      <c r="AN520" s="16">
        <f t="shared" si="386"/>
        <v>8.6710553384077365</v>
      </c>
      <c r="AO520" s="16">
        <f t="shared" si="386"/>
        <v>10.121374202838924</v>
      </c>
      <c r="AP520" s="16">
        <f t="shared" si="386"/>
        <v>2.1497634231639582</v>
      </c>
      <c r="AQ520" s="16">
        <f t="shared" si="386"/>
        <v>0.11314544332441887</v>
      </c>
      <c r="AR520" s="16">
        <f t="shared" si="386"/>
        <v>0.10285949393128987</v>
      </c>
      <c r="AS520" s="16">
        <f>SUM(AH520:AR520)</f>
        <v>100.00000000000001</v>
      </c>
      <c r="AT520" s="16">
        <f>AL520+0.899*AK520</f>
        <v>12.992666118082703</v>
      </c>
      <c r="AY520" s="46"/>
      <c r="AZ520" s="41"/>
      <c r="BA520" s="48">
        <v>362</v>
      </c>
      <c r="BB520" s="41"/>
      <c r="BC520" s="48">
        <v>268</v>
      </c>
      <c r="BD520" s="41"/>
      <c r="BE520" s="48">
        <v>53</v>
      </c>
      <c r="BF520" s="41"/>
      <c r="BG520" s="48">
        <v>163</v>
      </c>
      <c r="BH520" s="41"/>
      <c r="BI520" s="48">
        <v>65</v>
      </c>
      <c r="BJ520" s="41"/>
      <c r="BK520" s="48">
        <v>111</v>
      </c>
      <c r="BL520" s="41"/>
      <c r="BM520" s="41"/>
      <c r="BN520" s="41"/>
      <c r="BO520" s="48">
        <v>2</v>
      </c>
      <c r="BP520" s="41"/>
      <c r="BQ520" s="48">
        <v>121</v>
      </c>
      <c r="BR520" s="48"/>
      <c r="BS520" s="48">
        <v>34</v>
      </c>
      <c r="BT520" s="41"/>
      <c r="BU520" s="48">
        <v>67</v>
      </c>
      <c r="BV520" s="41"/>
      <c r="BW520" s="48">
        <v>1</v>
      </c>
      <c r="CA520" s="46">
        <v>71</v>
      </c>
      <c r="CB520" s="46"/>
      <c r="CC520" s="46"/>
      <c r="CD520" s="46"/>
      <c r="CE520" s="46"/>
      <c r="CF520" s="46"/>
      <c r="CG520" s="46"/>
      <c r="CH520" s="46"/>
      <c r="CI520" s="46"/>
      <c r="CJ520" s="46"/>
      <c r="CK520" s="46"/>
      <c r="CL520" s="46"/>
      <c r="CM520" s="46"/>
      <c r="CN520" s="46"/>
      <c r="CO520" s="46"/>
      <c r="CP520" s="46"/>
      <c r="CQ520" s="46"/>
      <c r="CR520" s="46"/>
      <c r="CS520" s="46"/>
      <c r="CT520" s="46"/>
    </row>
    <row r="521" spans="1:98">
      <c r="A521" s="1" t="s">
        <v>289</v>
      </c>
      <c r="B521" s="4" t="s">
        <v>290</v>
      </c>
      <c r="C521" s="40" t="s">
        <v>98</v>
      </c>
      <c r="D521" s="63">
        <v>67.22</v>
      </c>
      <c r="E521" s="63">
        <v>2.93</v>
      </c>
      <c r="F521" s="1" t="s">
        <v>309</v>
      </c>
      <c r="G521" s="4" t="s">
        <v>96</v>
      </c>
      <c r="H521" s="4"/>
      <c r="J521" s="38" t="s">
        <v>420</v>
      </c>
      <c r="K521" s="40"/>
      <c r="L521" s="4" t="s">
        <v>423</v>
      </c>
      <c r="M521" s="78" t="s">
        <v>867</v>
      </c>
      <c r="N521" s="78"/>
      <c r="O521" s="4"/>
      <c r="P521" s="4"/>
      <c r="Q521" s="4"/>
      <c r="AD521" s="23"/>
      <c r="AE521" s="23"/>
      <c r="AF521" s="23"/>
      <c r="AG521" s="45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45"/>
      <c r="AV521" s="4"/>
      <c r="AY521" s="39">
        <v>35.47</v>
      </c>
      <c r="BR521" s="39">
        <v>37.74</v>
      </c>
      <c r="BS521" s="39"/>
      <c r="BT521" s="39">
        <v>80.69</v>
      </c>
      <c r="BV521" s="39">
        <v>2.85</v>
      </c>
      <c r="BW521" s="39"/>
      <c r="CA521" s="39">
        <v>9.16</v>
      </c>
      <c r="CB521" s="39">
        <v>5.51</v>
      </c>
      <c r="CC521" s="39">
        <v>10.93</v>
      </c>
      <c r="CD521" s="39">
        <v>1.41</v>
      </c>
      <c r="CE521" s="39">
        <v>7.42</v>
      </c>
      <c r="CF521" s="39">
        <v>2.68</v>
      </c>
      <c r="CG521" s="39">
        <v>0.95</v>
      </c>
      <c r="CH521" s="39">
        <v>4.03</v>
      </c>
      <c r="CI521" s="39">
        <v>0.9</v>
      </c>
      <c r="CJ521" s="39">
        <v>5.75</v>
      </c>
      <c r="CK521" s="39">
        <v>1.34</v>
      </c>
      <c r="CL521" s="39">
        <v>4.0199999999999996</v>
      </c>
      <c r="CM521" s="39">
        <v>0.67</v>
      </c>
      <c r="CN521" s="39">
        <v>4.0999999999999996</v>
      </c>
      <c r="CO521" s="39">
        <v>0.62</v>
      </c>
      <c r="CP521" s="39">
        <v>2.4300000000000002</v>
      </c>
      <c r="CQ521" s="39">
        <v>0.18</v>
      </c>
      <c r="CR521" s="39">
        <v>0.86</v>
      </c>
      <c r="CS521" s="39">
        <v>1.2</v>
      </c>
      <c r="CT521" s="39">
        <v>0.28000000000000003</v>
      </c>
    </row>
    <row r="522" spans="1:98">
      <c r="A522" s="1" t="s">
        <v>289</v>
      </c>
      <c r="B522" s="4" t="s">
        <v>290</v>
      </c>
      <c r="C522" s="40" t="s">
        <v>98</v>
      </c>
      <c r="D522" s="63">
        <v>67.22</v>
      </c>
      <c r="E522" s="63">
        <v>2.93</v>
      </c>
      <c r="F522" s="1" t="s">
        <v>309</v>
      </c>
      <c r="G522" s="40" t="s">
        <v>118</v>
      </c>
      <c r="H522" s="40"/>
      <c r="I522" s="39"/>
      <c r="J522" s="38" t="s">
        <v>420</v>
      </c>
      <c r="K522" s="40"/>
      <c r="L522" s="4" t="s">
        <v>423</v>
      </c>
      <c r="M522" s="78" t="s">
        <v>867</v>
      </c>
      <c r="N522" s="78"/>
      <c r="P522" s="4"/>
      <c r="Q522" s="4"/>
      <c r="R522" s="4">
        <v>55.75</v>
      </c>
      <c r="S522" s="4">
        <v>1.29</v>
      </c>
      <c r="T522" s="4">
        <v>10.17</v>
      </c>
      <c r="U522" s="4">
        <v>11.37</v>
      </c>
      <c r="W522" s="4">
        <v>0.25</v>
      </c>
      <c r="X522" s="4">
        <v>7.59</v>
      </c>
      <c r="Y522" s="4">
        <v>10.93</v>
      </c>
      <c r="Z522" s="4">
        <v>2.3199999999999998</v>
      </c>
      <c r="AA522" s="4">
        <v>0.21</v>
      </c>
      <c r="AB522" s="4">
        <v>0.12</v>
      </c>
      <c r="AD522" s="23">
        <f>SUM(R522:AB522)+AC522</f>
        <v>99.999999999999986</v>
      </c>
      <c r="AE522" s="21">
        <f>V522+0.899*U522</f>
        <v>10.221629999999999</v>
      </c>
      <c r="AF522" s="23">
        <f>(X522/40.3)/((X522/40.3)+(AE522/71.844))</f>
        <v>0.56966173153237032</v>
      </c>
      <c r="AG522" s="45"/>
      <c r="AH522" s="16">
        <f t="shared" ref="AH522:AR522" si="387">100*R522/SUM($R522:$AB522)</f>
        <v>55.750000000000007</v>
      </c>
      <c r="AI522" s="16">
        <f t="shared" si="387"/>
        <v>1.2900000000000003</v>
      </c>
      <c r="AJ522" s="16">
        <f t="shared" si="387"/>
        <v>10.170000000000002</v>
      </c>
      <c r="AK522" s="16">
        <f t="shared" si="387"/>
        <v>11.370000000000001</v>
      </c>
      <c r="AL522" s="16">
        <f t="shared" si="387"/>
        <v>0</v>
      </c>
      <c r="AM522" s="16">
        <f t="shared" si="387"/>
        <v>0.25000000000000006</v>
      </c>
      <c r="AN522" s="16">
        <f t="shared" si="387"/>
        <v>7.5900000000000007</v>
      </c>
      <c r="AO522" s="16">
        <f t="shared" si="387"/>
        <v>10.930000000000001</v>
      </c>
      <c r="AP522" s="16">
        <f t="shared" si="387"/>
        <v>2.3199999999999998</v>
      </c>
      <c r="AQ522" s="16">
        <f t="shared" si="387"/>
        <v>0.21000000000000002</v>
      </c>
      <c r="AR522" s="16">
        <f t="shared" si="387"/>
        <v>0.12000000000000002</v>
      </c>
      <c r="AS522" s="16">
        <f>SUM(AH522:AR522)</f>
        <v>100.00000000000001</v>
      </c>
      <c r="AT522" s="16">
        <f>AL522+0.899*AK522</f>
        <v>10.221630000000001</v>
      </c>
      <c r="AU522" s="45"/>
      <c r="AV522" s="4"/>
      <c r="AY522" s="39"/>
      <c r="BS522" s="39"/>
      <c r="BT522" s="39"/>
      <c r="BU522" s="39"/>
      <c r="BV522" s="39"/>
      <c r="BW522" s="39"/>
      <c r="CA522" s="39"/>
      <c r="CB522" s="39"/>
      <c r="CC522" s="39"/>
      <c r="CD522" s="39"/>
      <c r="CE522" s="39"/>
      <c r="CF522" s="39"/>
      <c r="CG522" s="39"/>
      <c r="CH522" s="39"/>
      <c r="CI522" s="39"/>
      <c r="CJ522" s="39"/>
      <c r="CK522" s="39"/>
      <c r="CL522" s="39"/>
      <c r="CM522" s="39"/>
      <c r="CN522" s="39"/>
      <c r="CO522" s="39"/>
      <c r="CP522" s="39"/>
      <c r="CQ522" s="39"/>
      <c r="CR522" s="39"/>
      <c r="CS522" s="39"/>
      <c r="CT522" s="39"/>
    </row>
    <row r="523" spans="1:98">
      <c r="A523" s="1" t="s">
        <v>289</v>
      </c>
      <c r="B523" s="4" t="s">
        <v>290</v>
      </c>
      <c r="C523" s="38" t="s">
        <v>98</v>
      </c>
      <c r="D523" s="63">
        <v>67.22</v>
      </c>
      <c r="E523" s="63">
        <v>2.93</v>
      </c>
      <c r="F523" s="1" t="s">
        <v>309</v>
      </c>
      <c r="G523" s="38" t="s">
        <v>96</v>
      </c>
      <c r="H523" s="38"/>
      <c r="I523" s="39"/>
      <c r="J523" s="38" t="s">
        <v>420</v>
      </c>
      <c r="K523" s="37"/>
      <c r="L523" s="4" t="s">
        <v>423</v>
      </c>
      <c r="M523" s="78" t="s">
        <v>867</v>
      </c>
      <c r="N523" s="78"/>
      <c r="O523" s="16" t="s">
        <v>82</v>
      </c>
      <c r="P523" s="12"/>
      <c r="Q523" s="16"/>
      <c r="R523" s="25"/>
      <c r="S523" s="25"/>
      <c r="T523" s="25"/>
      <c r="U523" s="25"/>
      <c r="V523" s="26"/>
      <c r="W523" s="25"/>
      <c r="X523" s="25"/>
      <c r="Y523" s="25"/>
      <c r="Z523" s="25"/>
      <c r="AA523" s="25"/>
      <c r="AB523" s="25"/>
      <c r="AC523" s="15"/>
      <c r="AD523" s="23"/>
      <c r="AE523" s="23"/>
      <c r="AF523" s="23"/>
      <c r="AG523" s="45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45"/>
      <c r="AV523" s="16"/>
      <c r="AW523" s="15"/>
      <c r="AX523" s="15"/>
      <c r="AY523" s="39">
        <v>62.61</v>
      </c>
      <c r="AZ523" s="39">
        <v>468.87</v>
      </c>
      <c r="BA523" s="39"/>
      <c r="BB523" s="15"/>
      <c r="BC523" s="15"/>
      <c r="BD523" s="39">
        <v>53.24</v>
      </c>
      <c r="BE523" s="39"/>
      <c r="BF523" s="15"/>
      <c r="BG523" s="39">
        <v>100.13</v>
      </c>
      <c r="BH523" s="39">
        <v>66.33</v>
      </c>
      <c r="BI523" s="39"/>
      <c r="BJ523" s="39">
        <v>109.43</v>
      </c>
      <c r="BK523" s="39"/>
      <c r="BL523" s="39">
        <v>5.01</v>
      </c>
      <c r="BM523" s="39"/>
      <c r="BN523" s="15"/>
      <c r="BO523" s="15"/>
      <c r="BP523" s="15"/>
      <c r="BQ523" s="39">
        <v>61.15</v>
      </c>
      <c r="BR523" s="39">
        <v>37.19</v>
      </c>
      <c r="BS523" s="15"/>
      <c r="BT523" s="39">
        <v>62.79</v>
      </c>
      <c r="BV523" s="39">
        <v>1.75</v>
      </c>
      <c r="BW523" s="39"/>
      <c r="BX523" s="15"/>
      <c r="BY523" s="15"/>
      <c r="BZ523" s="39">
        <v>0.4</v>
      </c>
      <c r="CA523" s="39">
        <v>56.19</v>
      </c>
      <c r="CB523" s="39">
        <v>4.3899999999999997</v>
      </c>
      <c r="CC523" s="39">
        <v>10.92</v>
      </c>
      <c r="CD523" s="39">
        <v>1.37</v>
      </c>
      <c r="CE523" s="39">
        <v>7.45</v>
      </c>
      <c r="CF523" s="39">
        <v>2.52</v>
      </c>
      <c r="CG523" s="39">
        <v>0.87</v>
      </c>
      <c r="CH523" s="39">
        <v>3.65</v>
      </c>
      <c r="CI523" s="39">
        <v>0.79</v>
      </c>
      <c r="CJ523" s="39">
        <v>5.22</v>
      </c>
      <c r="CK523" s="39">
        <v>1.22</v>
      </c>
      <c r="CL523" s="39">
        <v>3.7</v>
      </c>
      <c r="CM523" s="39">
        <v>0.74</v>
      </c>
      <c r="CN523" s="39">
        <v>3.7</v>
      </c>
      <c r="CO523" s="39">
        <v>0.57999999999999996</v>
      </c>
      <c r="CP523" s="39">
        <v>1.77</v>
      </c>
      <c r="CQ523" s="39">
        <v>0.17</v>
      </c>
      <c r="CR523" s="39">
        <v>0.85</v>
      </c>
      <c r="CS523" s="39">
        <v>0.91</v>
      </c>
      <c r="CT523" s="39">
        <v>0.19</v>
      </c>
    </row>
    <row r="524" spans="1:98">
      <c r="A524" s="1" t="s">
        <v>289</v>
      </c>
      <c r="B524" s="4" t="s">
        <v>290</v>
      </c>
      <c r="C524" s="40" t="s">
        <v>114</v>
      </c>
      <c r="D524" s="63">
        <v>67.22</v>
      </c>
      <c r="E524" s="63">
        <v>2.93</v>
      </c>
      <c r="F524" s="1" t="s">
        <v>309</v>
      </c>
      <c r="G524" s="4" t="s">
        <v>96</v>
      </c>
      <c r="H524" s="4"/>
      <c r="J524" s="38" t="s">
        <v>420</v>
      </c>
      <c r="K524" s="40"/>
      <c r="L524" s="4" t="s">
        <v>423</v>
      </c>
      <c r="M524" s="78" t="s">
        <v>867</v>
      </c>
      <c r="N524" s="78"/>
      <c r="O524" s="4"/>
      <c r="P524" s="4"/>
      <c r="Q524" s="4"/>
      <c r="AD524" s="23"/>
      <c r="AE524" s="23"/>
      <c r="AF524" s="23"/>
      <c r="AG524" s="45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45"/>
      <c r="AV524" s="4"/>
      <c r="AY524" s="39">
        <v>40.159999999999997</v>
      </c>
      <c r="BR524" s="39">
        <v>35.409999999999997</v>
      </c>
      <c r="BS524" s="39"/>
      <c r="BT524" s="39">
        <v>63.8</v>
      </c>
      <c r="BV524" s="39">
        <v>3.01</v>
      </c>
      <c r="BW524" s="39"/>
      <c r="CA524" s="39">
        <v>52.59</v>
      </c>
      <c r="CB524" s="39">
        <v>1.78</v>
      </c>
      <c r="CC524" s="39">
        <v>10.58</v>
      </c>
      <c r="CD524" s="39">
        <v>1.39</v>
      </c>
      <c r="CE524" s="39">
        <v>7.13</v>
      </c>
      <c r="CF524" s="39">
        <v>2.5499999999999998</v>
      </c>
      <c r="CG524" s="39">
        <v>0.92</v>
      </c>
      <c r="CH524" s="39">
        <v>3.77</v>
      </c>
      <c r="CI524" s="39">
        <v>0.79</v>
      </c>
      <c r="CJ524" s="39">
        <v>5.53</v>
      </c>
      <c r="CK524" s="39">
        <v>1.27</v>
      </c>
      <c r="CL524" s="39">
        <v>3.86</v>
      </c>
      <c r="CM524" s="39">
        <v>0.63</v>
      </c>
      <c r="CN524" s="39">
        <v>4</v>
      </c>
      <c r="CO524" s="39">
        <v>0.64</v>
      </c>
      <c r="CP524" s="39">
        <v>1.91</v>
      </c>
      <c r="CQ524" s="39">
        <v>0.2</v>
      </c>
      <c r="CR524" s="39">
        <v>4.6399999999999997</v>
      </c>
      <c r="CS524" s="39">
        <v>1.06</v>
      </c>
      <c r="CT524" s="39">
        <v>0.28000000000000003</v>
      </c>
    </row>
    <row r="525" spans="1:98">
      <c r="A525" s="1" t="s">
        <v>289</v>
      </c>
      <c r="B525" s="4" t="s">
        <v>290</v>
      </c>
      <c r="C525" s="40" t="s">
        <v>115</v>
      </c>
      <c r="D525" s="63">
        <v>67.22</v>
      </c>
      <c r="E525" s="63">
        <v>2.93</v>
      </c>
      <c r="F525" s="1" t="s">
        <v>309</v>
      </c>
      <c r="G525" s="4" t="s">
        <v>96</v>
      </c>
      <c r="H525" s="4"/>
      <c r="J525" s="38" t="s">
        <v>420</v>
      </c>
      <c r="K525" s="40"/>
      <c r="L525" s="4" t="s">
        <v>423</v>
      </c>
      <c r="M525" s="78" t="s">
        <v>867</v>
      </c>
      <c r="N525" s="78"/>
      <c r="O525" s="4"/>
      <c r="P525" s="4"/>
      <c r="Q525" s="4"/>
      <c r="AD525" s="23"/>
      <c r="AE525" s="23"/>
      <c r="AF525" s="23"/>
      <c r="AG525" s="45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45"/>
      <c r="AV525" s="4"/>
      <c r="AY525" s="39">
        <v>37.520000000000003</v>
      </c>
      <c r="BR525" s="39">
        <v>37.4</v>
      </c>
      <c r="BS525" s="39"/>
      <c r="BT525" s="39">
        <v>79.42</v>
      </c>
      <c r="BV525" s="39">
        <v>3</v>
      </c>
      <c r="BW525" s="39"/>
      <c r="CA525" s="39">
        <v>9.16</v>
      </c>
      <c r="CB525" s="39">
        <v>4.8499999999999996</v>
      </c>
      <c r="CC525" s="39">
        <v>10.9</v>
      </c>
      <c r="CD525" s="39">
        <v>1.4</v>
      </c>
      <c r="CE525" s="39">
        <v>7.37</v>
      </c>
      <c r="CF525" s="39">
        <v>2.61</v>
      </c>
      <c r="CG525" s="39">
        <v>0.91</v>
      </c>
      <c r="CH525" s="39">
        <v>3.99</v>
      </c>
      <c r="CI525" s="39">
        <v>0.87</v>
      </c>
      <c r="CJ525" s="39">
        <v>5.61</v>
      </c>
      <c r="CK525" s="39">
        <v>1.31</v>
      </c>
      <c r="CL525" s="39">
        <v>3.91</v>
      </c>
      <c r="CM525" s="39">
        <v>0.65</v>
      </c>
      <c r="CN525" s="39">
        <v>3.95</v>
      </c>
      <c r="CO525" s="39">
        <v>0.6</v>
      </c>
      <c r="CP525" s="39">
        <v>2.29</v>
      </c>
      <c r="CQ525" s="39">
        <v>0.17</v>
      </c>
      <c r="CR525" s="39">
        <v>0.38</v>
      </c>
      <c r="CS525" s="39">
        <v>1.2</v>
      </c>
      <c r="CT525" s="39">
        <v>0.27</v>
      </c>
    </row>
    <row r="526" spans="1:98">
      <c r="A526" s="1" t="s">
        <v>289</v>
      </c>
      <c r="B526" s="4" t="s">
        <v>290</v>
      </c>
      <c r="C526" s="40" t="s">
        <v>115</v>
      </c>
      <c r="D526" s="63">
        <v>67.22</v>
      </c>
      <c r="E526" s="63">
        <v>2.93</v>
      </c>
      <c r="F526" s="1" t="s">
        <v>309</v>
      </c>
      <c r="G526" s="4" t="s">
        <v>96</v>
      </c>
      <c r="H526" s="4"/>
      <c r="J526" s="38" t="s">
        <v>420</v>
      </c>
      <c r="K526" s="40"/>
      <c r="L526" s="4" t="s">
        <v>423</v>
      </c>
      <c r="M526" s="78" t="s">
        <v>867</v>
      </c>
      <c r="N526" s="78"/>
      <c r="O526" s="4"/>
      <c r="P526" s="4"/>
      <c r="Q526" s="4"/>
      <c r="AD526" s="23"/>
      <c r="AE526" s="23"/>
      <c r="AF526" s="23"/>
      <c r="AG526" s="45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45"/>
      <c r="AV526" s="4"/>
      <c r="AY526" s="39"/>
      <c r="BR526" s="39">
        <v>41.67</v>
      </c>
      <c r="BS526" s="39"/>
      <c r="BT526" s="39">
        <v>83.56</v>
      </c>
      <c r="BV526" s="39">
        <v>3.46</v>
      </c>
      <c r="BW526" s="39"/>
      <c r="CA526" s="39">
        <v>56.05</v>
      </c>
      <c r="CB526" s="39">
        <v>16.059999999999999</v>
      </c>
      <c r="CC526" s="39">
        <v>12.63</v>
      </c>
      <c r="CD526" s="39">
        <v>1.61</v>
      </c>
      <c r="CE526" s="39">
        <v>8.51</v>
      </c>
      <c r="CF526" s="39">
        <v>3.03</v>
      </c>
      <c r="CG526" s="39">
        <v>1.07</v>
      </c>
      <c r="CH526" s="39">
        <v>4.3499999999999996</v>
      </c>
      <c r="CI526" s="39">
        <v>0.94</v>
      </c>
      <c r="CJ526" s="39">
        <v>6.62</v>
      </c>
      <c r="CK526" s="39">
        <v>1.53</v>
      </c>
      <c r="CL526" s="39">
        <v>4.6500000000000004</v>
      </c>
      <c r="CM526" s="39">
        <v>0.77</v>
      </c>
      <c r="CN526" s="39">
        <v>4.59</v>
      </c>
      <c r="CO526" s="39">
        <v>0.72</v>
      </c>
      <c r="CP526" s="39">
        <v>2.46</v>
      </c>
      <c r="CQ526" s="39">
        <v>0.19</v>
      </c>
      <c r="CR526" s="39">
        <v>0.84</v>
      </c>
      <c r="CS526" s="39">
        <v>0.79</v>
      </c>
      <c r="CT526" s="39">
        <v>0.27</v>
      </c>
    </row>
    <row r="527" spans="1:98">
      <c r="A527" s="1" t="s">
        <v>289</v>
      </c>
      <c r="B527" s="4" t="s">
        <v>290</v>
      </c>
      <c r="C527" s="40" t="s">
        <v>115</v>
      </c>
      <c r="D527" s="63">
        <v>67.22</v>
      </c>
      <c r="E527" s="63">
        <v>2.93</v>
      </c>
      <c r="F527" s="1" t="s">
        <v>309</v>
      </c>
      <c r="G527" s="40" t="s">
        <v>119</v>
      </c>
      <c r="H527" s="40"/>
      <c r="I527" s="39"/>
      <c r="J527" s="38" t="s">
        <v>420</v>
      </c>
      <c r="K527" s="40"/>
      <c r="L527" s="4" t="s">
        <v>423</v>
      </c>
      <c r="M527" s="78" t="s">
        <v>867</v>
      </c>
      <c r="N527" s="78"/>
      <c r="P527" s="4"/>
      <c r="Q527" s="4"/>
      <c r="R527" s="4">
        <v>55.5</v>
      </c>
      <c r="S527" s="4">
        <v>1.28</v>
      </c>
      <c r="T527" s="4">
        <v>9.85</v>
      </c>
      <c r="U527" s="4">
        <v>11.76</v>
      </c>
      <c r="W527" s="4">
        <v>0.26</v>
      </c>
      <c r="X527" s="4">
        <v>8.08</v>
      </c>
      <c r="Y527" s="4">
        <v>10.69</v>
      </c>
      <c r="Z527" s="4">
        <v>2.23</v>
      </c>
      <c r="AA527" s="4">
        <v>0.22</v>
      </c>
      <c r="AB527" s="4">
        <v>0.13</v>
      </c>
      <c r="AD527" s="23">
        <f>SUM(R527:AB527)+AC527</f>
        <v>100</v>
      </c>
      <c r="AE527" s="21">
        <f>V527+0.899*U527</f>
        <v>10.572240000000001</v>
      </c>
      <c r="AF527" s="23">
        <f>(X527/40.3)/((X527/40.3)+(AE527/71.844))</f>
        <v>0.57671580754359442</v>
      </c>
      <c r="AG527" s="45"/>
      <c r="AH527" s="16">
        <f t="shared" ref="AH527:AR527" si="388">100*R527/SUM($R527:$AB527)</f>
        <v>55.5</v>
      </c>
      <c r="AI527" s="16">
        <f t="shared" si="388"/>
        <v>1.28</v>
      </c>
      <c r="AJ527" s="16">
        <f t="shared" si="388"/>
        <v>9.85</v>
      </c>
      <c r="AK527" s="16">
        <f t="shared" si="388"/>
        <v>11.76</v>
      </c>
      <c r="AL527" s="16">
        <f t="shared" si="388"/>
        <v>0</v>
      </c>
      <c r="AM527" s="16">
        <f t="shared" si="388"/>
        <v>0.26</v>
      </c>
      <c r="AN527" s="16">
        <f t="shared" si="388"/>
        <v>8.08</v>
      </c>
      <c r="AO527" s="16">
        <f t="shared" si="388"/>
        <v>10.69</v>
      </c>
      <c r="AP527" s="16">
        <f t="shared" si="388"/>
        <v>2.23</v>
      </c>
      <c r="AQ527" s="16">
        <f t="shared" si="388"/>
        <v>0.22</v>
      </c>
      <c r="AR527" s="16">
        <f t="shared" si="388"/>
        <v>0.13</v>
      </c>
      <c r="AS527" s="16">
        <f>SUM(AH527:AR527)</f>
        <v>100</v>
      </c>
      <c r="AT527" s="16">
        <f>AL527+0.899*AK527</f>
        <v>10.572240000000001</v>
      </c>
      <c r="AU527" s="45"/>
      <c r="AV527" s="4"/>
      <c r="AY527" s="39"/>
      <c r="BS527" s="39"/>
      <c r="BT527" s="39"/>
      <c r="BU527" s="39"/>
      <c r="BV527" s="39"/>
      <c r="BW527" s="39"/>
      <c r="CA527" s="39"/>
      <c r="CB527" s="39"/>
      <c r="CC527" s="39"/>
      <c r="CD527" s="39"/>
      <c r="CE527" s="39"/>
      <c r="CF527" s="39"/>
      <c r="CG527" s="39"/>
      <c r="CH527" s="39"/>
      <c r="CI527" s="39"/>
      <c r="CJ527" s="39"/>
      <c r="CK527" s="39"/>
      <c r="CL527" s="39"/>
      <c r="CM527" s="39"/>
      <c r="CN527" s="39"/>
      <c r="CO527" s="39"/>
      <c r="CP527" s="39"/>
      <c r="CQ527" s="39"/>
      <c r="CR527" s="39"/>
      <c r="CS527" s="39"/>
      <c r="CT527" s="39"/>
    </row>
    <row r="528" spans="1:98">
      <c r="A528" s="1" t="s">
        <v>289</v>
      </c>
      <c r="B528" s="4" t="s">
        <v>290</v>
      </c>
      <c r="C528" s="40" t="s">
        <v>116</v>
      </c>
      <c r="D528" s="63">
        <v>67.22</v>
      </c>
      <c r="E528" s="63">
        <v>2.93</v>
      </c>
      <c r="F528" s="1" t="s">
        <v>309</v>
      </c>
      <c r="G528" s="4" t="s">
        <v>96</v>
      </c>
      <c r="H528" s="4"/>
      <c r="J528" s="38" t="s">
        <v>420</v>
      </c>
      <c r="K528" s="40"/>
      <c r="L528" s="4" t="s">
        <v>423</v>
      </c>
      <c r="M528" s="78" t="s">
        <v>867</v>
      </c>
      <c r="N528" s="78"/>
      <c r="O528" s="4"/>
      <c r="P528" s="4"/>
      <c r="Q528" s="4"/>
      <c r="AD528" s="23"/>
      <c r="AE528" s="23"/>
      <c r="AF528" s="23"/>
      <c r="AG528" s="45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45"/>
      <c r="AV528" s="4"/>
      <c r="AY528" s="39"/>
      <c r="BR528" s="39">
        <v>34.57</v>
      </c>
      <c r="BS528" s="39"/>
      <c r="BT528" s="39">
        <v>71.34</v>
      </c>
      <c r="BV528" s="39">
        <v>2.85</v>
      </c>
      <c r="BW528" s="39"/>
      <c r="CA528" s="39">
        <v>49.57</v>
      </c>
      <c r="CB528" s="39">
        <v>4.43</v>
      </c>
      <c r="CC528" s="39">
        <v>10.58</v>
      </c>
      <c r="CD528" s="39">
        <v>1.36</v>
      </c>
      <c r="CE528" s="39">
        <v>7.09</v>
      </c>
      <c r="CF528" s="39">
        <v>2.52</v>
      </c>
      <c r="CG528" s="39">
        <v>0.89</v>
      </c>
      <c r="CH528" s="39">
        <v>3.61</v>
      </c>
      <c r="CI528" s="39">
        <v>0.77</v>
      </c>
      <c r="CJ528" s="39">
        <v>5.53</v>
      </c>
      <c r="CK528" s="39">
        <v>1.29</v>
      </c>
      <c r="CL528" s="39">
        <v>3.88</v>
      </c>
      <c r="CM528" s="39">
        <v>0.64</v>
      </c>
      <c r="CN528" s="39">
        <v>3.83</v>
      </c>
      <c r="CO528" s="39">
        <v>0.61</v>
      </c>
      <c r="CP528" s="39">
        <v>1.99</v>
      </c>
      <c r="CQ528" s="39">
        <v>0.16</v>
      </c>
      <c r="CR528" s="39">
        <v>0.7</v>
      </c>
      <c r="CS528" s="39">
        <v>0.56999999999999995</v>
      </c>
      <c r="CT528" s="39">
        <v>0.25</v>
      </c>
    </row>
    <row r="529" spans="1:98">
      <c r="A529" s="1" t="s">
        <v>289</v>
      </c>
      <c r="B529" s="4" t="s">
        <v>290</v>
      </c>
      <c r="C529" s="40" t="s">
        <v>116</v>
      </c>
      <c r="D529" s="63">
        <v>67.22</v>
      </c>
      <c r="E529" s="63">
        <v>2.93</v>
      </c>
      <c r="F529" s="1" t="s">
        <v>309</v>
      </c>
      <c r="G529" s="4" t="s">
        <v>96</v>
      </c>
      <c r="H529" s="4"/>
      <c r="J529" s="38" t="s">
        <v>420</v>
      </c>
      <c r="K529" s="40"/>
      <c r="L529" s="4" t="s">
        <v>423</v>
      </c>
      <c r="M529" s="78" t="s">
        <v>867</v>
      </c>
      <c r="N529" s="78"/>
      <c r="O529" s="4"/>
      <c r="P529" s="4"/>
      <c r="Q529" s="4"/>
      <c r="AD529" s="23"/>
      <c r="AE529" s="23"/>
      <c r="AF529" s="23"/>
      <c r="AG529" s="45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45"/>
      <c r="AV529" s="4"/>
      <c r="AY529" s="39">
        <v>42.16</v>
      </c>
      <c r="BR529" s="39">
        <v>43.03</v>
      </c>
      <c r="BS529" s="39"/>
      <c r="BT529" s="39">
        <v>81.400000000000006</v>
      </c>
      <c r="BV529" s="39">
        <v>3.36</v>
      </c>
      <c r="BW529" s="39"/>
      <c r="CA529" s="39">
        <v>9.9700000000000006</v>
      </c>
      <c r="CB529" s="39">
        <v>6.38</v>
      </c>
      <c r="CC529" s="39">
        <v>12.58</v>
      </c>
      <c r="CD529" s="39">
        <v>1.63</v>
      </c>
      <c r="CE529" s="39">
        <v>8.65</v>
      </c>
      <c r="CF529" s="39">
        <v>3.07</v>
      </c>
      <c r="CG529" s="39">
        <v>1.07</v>
      </c>
      <c r="CH529" s="39">
        <v>4.6500000000000004</v>
      </c>
      <c r="CI529" s="39">
        <v>1.01</v>
      </c>
      <c r="CJ529" s="39">
        <v>6.62</v>
      </c>
      <c r="CK529" s="39">
        <v>1.52</v>
      </c>
      <c r="CL529" s="39">
        <v>4.5999999999999996</v>
      </c>
      <c r="CM529" s="39">
        <v>0.76</v>
      </c>
      <c r="CN529" s="39">
        <v>4.6500000000000004</v>
      </c>
      <c r="CO529" s="39">
        <v>0.7</v>
      </c>
      <c r="CP529" s="39">
        <v>2.4700000000000002</v>
      </c>
      <c r="CQ529" s="39">
        <v>0.22</v>
      </c>
      <c r="CR529" s="39">
        <v>1.7</v>
      </c>
      <c r="CS529" s="39">
        <v>1.46</v>
      </c>
      <c r="CT529" s="39">
        <v>0.35</v>
      </c>
    </row>
    <row r="530" spans="1:98">
      <c r="A530" s="1" t="s">
        <v>289</v>
      </c>
      <c r="B530" s="4" t="s">
        <v>290</v>
      </c>
      <c r="C530" s="40" t="s">
        <v>116</v>
      </c>
      <c r="D530" s="63">
        <v>67.22</v>
      </c>
      <c r="E530" s="63">
        <v>2.93</v>
      </c>
      <c r="F530" s="1" t="s">
        <v>309</v>
      </c>
      <c r="G530" s="40" t="s">
        <v>120</v>
      </c>
      <c r="H530" s="40"/>
      <c r="I530" s="39"/>
      <c r="J530" s="38" t="s">
        <v>420</v>
      </c>
      <c r="K530" s="40"/>
      <c r="L530" s="4" t="s">
        <v>423</v>
      </c>
      <c r="M530" s="78" t="s">
        <v>867</v>
      </c>
      <c r="N530" s="78"/>
      <c r="P530" s="4"/>
      <c r="Q530" s="4"/>
      <c r="R530" s="4">
        <v>55.47</v>
      </c>
      <c r="S530" s="4">
        <v>1.27</v>
      </c>
      <c r="T530" s="4">
        <v>9.94</v>
      </c>
      <c r="U530" s="4">
        <v>11.52</v>
      </c>
      <c r="W530" s="4">
        <v>0.26</v>
      </c>
      <c r="X530" s="4">
        <v>8.3800000000000008</v>
      </c>
      <c r="Y530" s="4">
        <v>10.57</v>
      </c>
      <c r="Z530" s="4">
        <v>2.25</v>
      </c>
      <c r="AA530" s="4">
        <v>0.22</v>
      </c>
      <c r="AB530" s="4">
        <v>0.12</v>
      </c>
      <c r="AD530" s="23">
        <f>SUM(R530:AB530)+AC530</f>
        <v>100</v>
      </c>
      <c r="AE530" s="21">
        <f>V530+0.899*U530</f>
        <v>10.356479999999999</v>
      </c>
      <c r="AF530" s="23">
        <f>(X530/40.3)/((X530/40.3)+(AE530/71.844))</f>
        <v>0.5905842448683587</v>
      </c>
      <c r="AG530" s="45"/>
      <c r="AH530" s="16">
        <f t="shared" ref="AH530:AR530" si="389">100*R530/SUM($R530:$AB530)</f>
        <v>55.47</v>
      </c>
      <c r="AI530" s="16">
        <f t="shared" si="389"/>
        <v>1.27</v>
      </c>
      <c r="AJ530" s="16">
        <f t="shared" si="389"/>
        <v>9.94</v>
      </c>
      <c r="AK530" s="16">
        <f t="shared" si="389"/>
        <v>11.52</v>
      </c>
      <c r="AL530" s="16">
        <f t="shared" si="389"/>
        <v>0</v>
      </c>
      <c r="AM530" s="16">
        <f t="shared" si="389"/>
        <v>0.26</v>
      </c>
      <c r="AN530" s="16">
        <f t="shared" si="389"/>
        <v>8.3800000000000008</v>
      </c>
      <c r="AO530" s="16">
        <f t="shared" si="389"/>
        <v>10.57</v>
      </c>
      <c r="AP530" s="16">
        <f t="shared" si="389"/>
        <v>2.25</v>
      </c>
      <c r="AQ530" s="16">
        <f t="shared" si="389"/>
        <v>0.22</v>
      </c>
      <c r="AR530" s="16">
        <f t="shared" si="389"/>
        <v>0.12</v>
      </c>
      <c r="AS530" s="16">
        <f>SUM(AH530:AR530)</f>
        <v>100</v>
      </c>
      <c r="AT530" s="16">
        <f>AL530+0.899*AK530</f>
        <v>10.356479999999999</v>
      </c>
      <c r="AU530" s="45"/>
      <c r="AV530" s="4"/>
      <c r="AY530" s="39"/>
      <c r="BR530" s="39"/>
      <c r="BS530" s="39"/>
      <c r="BT530" s="39"/>
      <c r="BV530" s="39"/>
      <c r="BW530" s="39"/>
      <c r="CA530" s="39"/>
      <c r="CB530" s="39"/>
      <c r="CC530" s="39"/>
      <c r="CD530" s="39"/>
      <c r="CE530" s="39"/>
      <c r="CF530" s="39"/>
      <c r="CG530" s="39"/>
      <c r="CH530" s="39"/>
      <c r="CI530" s="39"/>
      <c r="CJ530" s="39"/>
      <c r="CK530" s="39"/>
      <c r="CL530" s="39"/>
      <c r="CM530" s="39"/>
      <c r="CN530" s="39"/>
      <c r="CO530" s="39"/>
      <c r="CP530" s="39"/>
      <c r="CQ530" s="39"/>
      <c r="CR530" s="39"/>
      <c r="CS530" s="39"/>
      <c r="CT530" s="39"/>
    </row>
    <row r="531" spans="1:98">
      <c r="A531" s="1" t="s">
        <v>289</v>
      </c>
      <c r="B531" s="4" t="s">
        <v>290</v>
      </c>
      <c r="C531" s="40" t="s">
        <v>99</v>
      </c>
      <c r="D531" s="63">
        <v>67.22</v>
      </c>
      <c r="E531" s="63">
        <v>2.93</v>
      </c>
      <c r="F531" s="1" t="s">
        <v>309</v>
      </c>
      <c r="G531" s="4" t="s">
        <v>96</v>
      </c>
      <c r="H531" s="4"/>
      <c r="J531" s="38" t="s">
        <v>420</v>
      </c>
      <c r="K531" s="40"/>
      <c r="L531" s="4" t="s">
        <v>423</v>
      </c>
      <c r="M531" s="78" t="s">
        <v>867</v>
      </c>
      <c r="N531" s="78"/>
      <c r="O531" s="4"/>
      <c r="P531" s="4"/>
      <c r="Q531" s="4"/>
      <c r="AD531" s="23"/>
      <c r="AE531" s="23"/>
      <c r="AF531" s="23"/>
      <c r="AG531" s="45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45"/>
      <c r="AV531" s="4"/>
      <c r="AY531" s="39">
        <v>50.35</v>
      </c>
      <c r="BR531" s="39">
        <v>39.47</v>
      </c>
      <c r="BS531" s="39"/>
      <c r="BT531" s="39">
        <v>78.45</v>
      </c>
      <c r="BV531" s="39">
        <v>3.23</v>
      </c>
      <c r="BW531" s="39"/>
      <c r="CA531" s="39">
        <v>66.2</v>
      </c>
      <c r="CB531" s="39">
        <v>4.62</v>
      </c>
      <c r="CC531" s="39">
        <v>10.98</v>
      </c>
      <c r="CD531" s="39">
        <v>1.44</v>
      </c>
      <c r="CE531" s="39">
        <v>7.37</v>
      </c>
      <c r="CF531" s="39">
        <v>2.64</v>
      </c>
      <c r="CG531" s="39">
        <v>0.95</v>
      </c>
      <c r="CH531" s="39">
        <v>3.79</v>
      </c>
      <c r="CI531" s="39">
        <v>0.81</v>
      </c>
      <c r="CJ531" s="39">
        <v>5.75</v>
      </c>
      <c r="CK531" s="39">
        <v>1.33</v>
      </c>
      <c r="CL531" s="39">
        <v>4.0199999999999996</v>
      </c>
      <c r="CM531" s="39">
        <v>0.64</v>
      </c>
      <c r="CN531" s="39">
        <v>4.01</v>
      </c>
      <c r="CO531" s="39">
        <v>0.63</v>
      </c>
      <c r="CP531" s="39">
        <v>2.21</v>
      </c>
      <c r="CQ531" s="39">
        <v>0.17</v>
      </c>
      <c r="CR531" s="39">
        <v>8.51</v>
      </c>
      <c r="CS531" s="39">
        <v>1.07</v>
      </c>
      <c r="CT531" s="39">
        <v>0.31</v>
      </c>
    </row>
    <row r="532" spans="1:98">
      <c r="A532" s="1" t="s">
        <v>289</v>
      </c>
      <c r="B532" s="4" t="s">
        <v>290</v>
      </c>
      <c r="C532" s="40" t="s">
        <v>99</v>
      </c>
      <c r="D532" s="63">
        <v>67.22</v>
      </c>
      <c r="E532" s="63">
        <v>2.93</v>
      </c>
      <c r="F532" s="1" t="s">
        <v>309</v>
      </c>
      <c r="G532" s="40" t="s">
        <v>96</v>
      </c>
      <c r="H532" s="40"/>
      <c r="I532" s="39"/>
      <c r="J532" s="38" t="s">
        <v>420</v>
      </c>
      <c r="K532" s="40"/>
      <c r="L532" s="4" t="s">
        <v>423</v>
      </c>
      <c r="M532" s="78" t="s">
        <v>867</v>
      </c>
      <c r="N532" s="78"/>
      <c r="P532" s="4"/>
      <c r="Q532" s="4"/>
      <c r="R532" s="4">
        <v>50.01</v>
      </c>
      <c r="S532" s="4">
        <v>1.1399999999999999</v>
      </c>
      <c r="T532" s="4">
        <v>13.82</v>
      </c>
      <c r="U532" s="4">
        <v>15.32</v>
      </c>
      <c r="W532" s="4">
        <v>0.35</v>
      </c>
      <c r="X532" s="4">
        <v>5.91</v>
      </c>
      <c r="Y532" s="4">
        <v>10.69</v>
      </c>
      <c r="Z532" s="4">
        <v>2.25</v>
      </c>
      <c r="AA532" s="4">
        <v>0.3</v>
      </c>
      <c r="AB532" s="4">
        <v>0.21</v>
      </c>
      <c r="AD532" s="23">
        <f>SUM(R532:AB532)+AC532</f>
        <v>99.999999999999972</v>
      </c>
      <c r="AE532" s="21">
        <f>V532+0.899*U532</f>
        <v>13.772680000000001</v>
      </c>
      <c r="AF532" s="23">
        <f>(X532/40.3)/((X532/40.3)+(AE532/71.844))</f>
        <v>0.43342383038753279</v>
      </c>
      <c r="AG532" s="45"/>
      <c r="AH532" s="16">
        <f t="shared" ref="AH532:AR532" si="390">100*R532/SUM($R532:$AB532)</f>
        <v>50.010000000000012</v>
      </c>
      <c r="AI532" s="16">
        <f t="shared" si="390"/>
        <v>1.1400000000000001</v>
      </c>
      <c r="AJ532" s="16">
        <f t="shared" si="390"/>
        <v>13.820000000000004</v>
      </c>
      <c r="AK532" s="16">
        <f t="shared" si="390"/>
        <v>15.320000000000004</v>
      </c>
      <c r="AL532" s="16">
        <f t="shared" si="390"/>
        <v>0</v>
      </c>
      <c r="AM532" s="16">
        <f t="shared" si="390"/>
        <v>0.35000000000000009</v>
      </c>
      <c r="AN532" s="16">
        <f t="shared" si="390"/>
        <v>5.9100000000000019</v>
      </c>
      <c r="AO532" s="16">
        <f t="shared" si="390"/>
        <v>10.690000000000003</v>
      </c>
      <c r="AP532" s="16">
        <f t="shared" si="390"/>
        <v>2.2500000000000004</v>
      </c>
      <c r="AQ532" s="16">
        <f t="shared" si="390"/>
        <v>0.3000000000000001</v>
      </c>
      <c r="AR532" s="16">
        <f t="shared" si="390"/>
        <v>0.21000000000000005</v>
      </c>
      <c r="AS532" s="16">
        <f>SUM(AH532:AR532)</f>
        <v>100</v>
      </c>
      <c r="AT532" s="16">
        <f>AL532+0.899*AK532</f>
        <v>13.772680000000003</v>
      </c>
      <c r="AU532" s="45"/>
      <c r="AV532" s="4"/>
      <c r="AY532" s="39"/>
      <c r="BR532" s="39"/>
      <c r="BS532" s="39"/>
      <c r="BT532" s="39"/>
      <c r="BV532" s="39"/>
      <c r="BW532" s="39"/>
      <c r="CA532" s="39"/>
      <c r="CB532" s="39"/>
      <c r="CC532" s="39"/>
      <c r="CD532" s="39"/>
      <c r="CE532" s="39"/>
      <c r="CF532" s="39"/>
      <c r="CG532" s="39"/>
      <c r="CH532" s="39"/>
      <c r="CI532" s="39"/>
      <c r="CJ532" s="39"/>
      <c r="CK532" s="39"/>
      <c r="CL532" s="39"/>
      <c r="CM532" s="39"/>
      <c r="CN532" s="39"/>
      <c r="CO532" s="39"/>
      <c r="CP532" s="39"/>
      <c r="CQ532" s="39"/>
      <c r="CR532" s="39"/>
      <c r="CS532" s="39"/>
      <c r="CT532" s="39"/>
    </row>
    <row r="533" spans="1:98">
      <c r="A533" s="1" t="s">
        <v>289</v>
      </c>
      <c r="B533" s="4" t="s">
        <v>290</v>
      </c>
      <c r="C533" s="38" t="s">
        <v>99</v>
      </c>
      <c r="D533" s="63">
        <v>67.22</v>
      </c>
      <c r="E533" s="63">
        <v>2.93</v>
      </c>
      <c r="F533" s="1" t="s">
        <v>309</v>
      </c>
      <c r="G533" s="38" t="s">
        <v>96</v>
      </c>
      <c r="H533" s="38"/>
      <c r="I533" s="39"/>
      <c r="J533" s="38" t="s">
        <v>420</v>
      </c>
      <c r="K533" s="37"/>
      <c r="L533" s="4" t="s">
        <v>423</v>
      </c>
      <c r="M533" s="78" t="s">
        <v>867</v>
      </c>
      <c r="N533" s="78"/>
      <c r="O533" s="16" t="s">
        <v>82</v>
      </c>
      <c r="P533" s="12"/>
      <c r="Q533" s="16"/>
      <c r="R533" s="25"/>
      <c r="S533" s="25"/>
      <c r="T533" s="25"/>
      <c r="U533" s="25"/>
      <c r="V533" s="26"/>
      <c r="W533" s="25"/>
      <c r="X533" s="25"/>
      <c r="Y533" s="25"/>
      <c r="Z533" s="25"/>
      <c r="AA533" s="25"/>
      <c r="AB533" s="25"/>
      <c r="AC533" s="15"/>
      <c r="AD533" s="23"/>
      <c r="AE533" s="23"/>
      <c r="AF533" s="23"/>
      <c r="AG533" s="45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45"/>
      <c r="AV533" s="16"/>
      <c r="AW533" s="15"/>
      <c r="AX533" s="15"/>
      <c r="AY533" s="39">
        <v>29.37</v>
      </c>
      <c r="AZ533" s="39">
        <v>127.77</v>
      </c>
      <c r="BA533" s="39"/>
      <c r="BB533" s="15"/>
      <c r="BC533" s="15"/>
      <c r="BD533" s="39" t="s">
        <v>89</v>
      </c>
      <c r="BE533" s="39"/>
      <c r="BF533" s="15"/>
      <c r="BG533" s="39" t="s">
        <v>89</v>
      </c>
      <c r="BH533" s="39">
        <v>10.82</v>
      </c>
      <c r="BI533" s="39"/>
      <c r="BJ533" s="39">
        <v>73.61</v>
      </c>
      <c r="BK533" s="39"/>
      <c r="BL533" s="39">
        <v>36.270000000000003</v>
      </c>
      <c r="BM533" s="39"/>
      <c r="BN533" s="15"/>
      <c r="BO533" s="15"/>
      <c r="BP533" s="15"/>
      <c r="BQ533" s="39">
        <v>527.03</v>
      </c>
      <c r="BR533" s="39">
        <v>56.31</v>
      </c>
      <c r="BS533" s="15"/>
      <c r="BT533" s="39">
        <v>333.69</v>
      </c>
      <c r="BV533" s="39">
        <v>20.16</v>
      </c>
      <c r="BW533" s="39"/>
      <c r="BX533" s="15"/>
      <c r="BY533" s="15"/>
      <c r="BZ533" s="39">
        <v>2.85</v>
      </c>
      <c r="CA533" s="39">
        <v>1898.08</v>
      </c>
      <c r="CB533" s="39">
        <v>40.96</v>
      </c>
      <c r="CC533" s="39">
        <v>87.29</v>
      </c>
      <c r="CD533" s="39">
        <v>8.7799999999999994</v>
      </c>
      <c r="CE533" s="39">
        <v>38.29</v>
      </c>
      <c r="CF533" s="39">
        <v>7.4</v>
      </c>
      <c r="CG533" s="39">
        <v>1.0900000000000001</v>
      </c>
      <c r="CH533" s="39">
        <v>7.19</v>
      </c>
      <c r="CI533" s="39">
        <v>1.19</v>
      </c>
      <c r="CJ533" s="39">
        <v>6.96</v>
      </c>
      <c r="CK533" s="39">
        <v>1.49</v>
      </c>
      <c r="CL533" s="39">
        <v>4.32</v>
      </c>
      <c r="CM533" s="39">
        <v>0.82</v>
      </c>
      <c r="CN533" s="39">
        <v>4.3</v>
      </c>
      <c r="CO533" s="39">
        <v>0.66</v>
      </c>
      <c r="CP533" s="39">
        <v>6.82</v>
      </c>
      <c r="CQ533" s="39">
        <v>1.24</v>
      </c>
      <c r="CR533" s="39">
        <v>17.12</v>
      </c>
      <c r="CS533" s="39">
        <v>12.49</v>
      </c>
      <c r="CT533" s="39">
        <v>2.56</v>
      </c>
    </row>
    <row r="534" spans="1:98">
      <c r="A534" s="1" t="s">
        <v>289</v>
      </c>
      <c r="B534" s="4" t="s">
        <v>290</v>
      </c>
      <c r="C534" s="46" t="s">
        <v>465</v>
      </c>
      <c r="D534" s="63">
        <v>67.22</v>
      </c>
      <c r="E534" s="63">
        <v>2.93</v>
      </c>
      <c r="F534" s="1" t="s">
        <v>309</v>
      </c>
      <c r="G534" s="46" t="s">
        <v>103</v>
      </c>
      <c r="J534" s="38" t="s">
        <v>420</v>
      </c>
      <c r="L534" s="1" t="s">
        <v>514</v>
      </c>
      <c r="M534" s="78" t="s">
        <v>868</v>
      </c>
      <c r="N534" s="78"/>
      <c r="R534" s="47">
        <v>49.4</v>
      </c>
      <c r="S534" s="47">
        <v>1.5</v>
      </c>
      <c r="T534" s="47">
        <v>18.2</v>
      </c>
      <c r="U534" s="47">
        <v>9.48</v>
      </c>
      <c r="V534" s="47"/>
      <c r="W534" s="47">
        <v>0.16</v>
      </c>
      <c r="X534" s="47">
        <v>5.19</v>
      </c>
      <c r="Y534" s="47">
        <v>7.52</v>
      </c>
      <c r="Z534" s="47">
        <v>3.61</v>
      </c>
      <c r="AA534" s="47">
        <v>0.34</v>
      </c>
      <c r="AB534" s="47">
        <v>0.13</v>
      </c>
      <c r="AC534" s="9">
        <v>2.25</v>
      </c>
      <c r="AD534" s="23">
        <f>SUM(R534:AB534)+AC534</f>
        <v>97.779999999999987</v>
      </c>
      <c r="AE534" s="21">
        <f>V534+0.899*U534</f>
        <v>8.5225200000000001</v>
      </c>
      <c r="AF534" s="23">
        <f>(X534/40.3)/((X534/40.3)+(AE534/71.844))</f>
        <v>0.5205302650804412</v>
      </c>
      <c r="AH534" s="16">
        <f t="shared" ref="AH534:AR535" si="391">100*R534/SUM($R534:$AB534)</f>
        <v>51.711504239505921</v>
      </c>
      <c r="AI534" s="16">
        <f t="shared" si="391"/>
        <v>1.5701873756934996</v>
      </c>
      <c r="AJ534" s="16">
        <f t="shared" si="391"/>
        <v>19.05160682508113</v>
      </c>
      <c r="AK534" s="16">
        <f t="shared" si="391"/>
        <v>9.9235842143829185</v>
      </c>
      <c r="AL534" s="16">
        <f t="shared" si="391"/>
        <v>0</v>
      </c>
      <c r="AM534" s="16">
        <f t="shared" si="391"/>
        <v>0.16748665340730662</v>
      </c>
      <c r="AN534" s="16">
        <f t="shared" si="391"/>
        <v>5.4328483198995086</v>
      </c>
      <c r="AO534" s="16">
        <f t="shared" si="391"/>
        <v>7.8718727101434114</v>
      </c>
      <c r="AP534" s="16">
        <f t="shared" si="391"/>
        <v>3.7789176175023558</v>
      </c>
      <c r="AQ534" s="16">
        <f t="shared" si="391"/>
        <v>0.35590913849052658</v>
      </c>
      <c r="AR534" s="16">
        <f t="shared" si="391"/>
        <v>0.13608290589343663</v>
      </c>
      <c r="AS534" s="16">
        <f>SUM(AH534:AR534)</f>
        <v>100</v>
      </c>
      <c r="AT534" s="16">
        <f>AL534+0.899*AK534</f>
        <v>8.9213022087302445</v>
      </c>
      <c r="AY534" s="46">
        <v>65</v>
      </c>
      <c r="AZ534" s="41"/>
      <c r="BA534" s="48">
        <v>595</v>
      </c>
      <c r="BB534" s="41"/>
      <c r="BC534" s="48">
        <v>206</v>
      </c>
      <c r="BD534" s="41"/>
      <c r="BE534" s="48">
        <v>63</v>
      </c>
      <c r="BF534" s="41"/>
      <c r="BG534" s="48">
        <v>76</v>
      </c>
      <c r="BH534" s="41"/>
      <c r="BI534" s="48">
        <v>86</v>
      </c>
      <c r="BJ534" s="41"/>
      <c r="BK534" s="48">
        <v>158</v>
      </c>
      <c r="BL534" s="41"/>
      <c r="BM534" s="41"/>
      <c r="BN534" s="41"/>
      <c r="BO534" s="48">
        <v>8</v>
      </c>
      <c r="BP534" s="41"/>
      <c r="BQ534" s="48">
        <v>107</v>
      </c>
      <c r="BR534" s="48"/>
      <c r="BS534" s="48">
        <v>41</v>
      </c>
      <c r="BT534" s="41"/>
      <c r="BU534" s="48">
        <v>97</v>
      </c>
      <c r="BV534" s="41"/>
      <c r="BW534" s="48">
        <v>4</v>
      </c>
      <c r="CA534" s="46"/>
      <c r="CB534" s="46">
        <v>11.5</v>
      </c>
      <c r="CC534" s="46">
        <v>14.7</v>
      </c>
      <c r="CD534" s="46"/>
      <c r="CE534" s="46">
        <v>9.82</v>
      </c>
      <c r="CF534" s="46">
        <v>3.93</v>
      </c>
      <c r="CG534" s="46">
        <v>1.35</v>
      </c>
      <c r="CH534" s="46"/>
      <c r="CI534" s="46">
        <v>1.1399999999999999</v>
      </c>
      <c r="CJ534" s="46"/>
      <c r="CK534" s="46">
        <v>1.74</v>
      </c>
      <c r="CL534" s="46"/>
      <c r="CM534" s="46"/>
      <c r="CN534" s="46">
        <v>5.41</v>
      </c>
      <c r="CO534" s="46">
        <v>0.8</v>
      </c>
      <c r="CP534" s="46">
        <v>3.56</v>
      </c>
      <c r="CQ534" s="46">
        <v>0.25</v>
      </c>
      <c r="CR534" s="46"/>
      <c r="CS534" s="46">
        <v>1.47</v>
      </c>
      <c r="CT534" s="46">
        <v>0.37</v>
      </c>
    </row>
    <row r="535" spans="1:98">
      <c r="A535" s="1" t="s">
        <v>289</v>
      </c>
      <c r="B535" s="4" t="s">
        <v>290</v>
      </c>
      <c r="C535" s="40" t="s">
        <v>102</v>
      </c>
      <c r="D535" s="63">
        <v>67.22</v>
      </c>
      <c r="E535" s="63">
        <v>2.93</v>
      </c>
      <c r="F535" s="1" t="s">
        <v>309</v>
      </c>
      <c r="G535" s="4" t="s">
        <v>103</v>
      </c>
      <c r="H535" s="4"/>
      <c r="J535" s="38" t="s">
        <v>420</v>
      </c>
      <c r="K535" s="40"/>
      <c r="L535" s="4" t="s">
        <v>423</v>
      </c>
      <c r="M535" s="78" t="s">
        <v>867</v>
      </c>
      <c r="N535" s="78"/>
      <c r="O535" s="40"/>
      <c r="P535" s="4"/>
      <c r="Q535" s="4"/>
      <c r="R535" s="4">
        <v>50.3</v>
      </c>
      <c r="S535" s="4">
        <v>1.54</v>
      </c>
      <c r="T535" s="4">
        <v>18.809999999999999</v>
      </c>
      <c r="U535" s="4">
        <v>12.7</v>
      </c>
      <c r="W535" s="4">
        <v>0.16</v>
      </c>
      <c r="X535" s="4">
        <v>4.68</v>
      </c>
      <c r="Y535" s="4">
        <v>7.68</v>
      </c>
      <c r="Z535" s="4">
        <v>3.61</v>
      </c>
      <c r="AA535" s="4">
        <v>0.38</v>
      </c>
      <c r="AB535" s="4">
        <v>0.13</v>
      </c>
      <c r="AD535" s="23">
        <f>SUM(R535:AB535)+AC535</f>
        <v>99.99</v>
      </c>
      <c r="AE535" s="21">
        <f>V535+0.899*U535</f>
        <v>11.417299999999999</v>
      </c>
      <c r="AF535" s="23">
        <f>(X535/40.3)/((X535/40.3)+(AE535/71.844))</f>
        <v>0.42221528247901852</v>
      </c>
      <c r="AG535" s="45"/>
      <c r="AH535" s="16">
        <f t="shared" si="391"/>
        <v>50.305030503050311</v>
      </c>
      <c r="AI535" s="16">
        <f t="shared" si="391"/>
        <v>1.5401540154015403</v>
      </c>
      <c r="AJ535" s="16">
        <f t="shared" si="391"/>
        <v>18.811881188118811</v>
      </c>
      <c r="AK535" s="16">
        <f t="shared" si="391"/>
        <v>12.701270127012702</v>
      </c>
      <c r="AL535" s="16">
        <f t="shared" si="391"/>
        <v>0</v>
      </c>
      <c r="AM535" s="16">
        <f t="shared" si="391"/>
        <v>0.16001600160016002</v>
      </c>
      <c r="AN535" s="16">
        <f t="shared" si="391"/>
        <v>4.6804680468046804</v>
      </c>
      <c r="AO535" s="16">
        <f t="shared" si="391"/>
        <v>7.6807680768076816</v>
      </c>
      <c r="AP535" s="16">
        <f t="shared" si="391"/>
        <v>3.6103610361036105</v>
      </c>
      <c r="AQ535" s="16">
        <f t="shared" si="391"/>
        <v>0.38003800380038005</v>
      </c>
      <c r="AR535" s="16">
        <f t="shared" si="391"/>
        <v>0.13001300130013002</v>
      </c>
      <c r="AS535" s="16">
        <f>SUM(AH535:AR535)</f>
        <v>100</v>
      </c>
      <c r="AT535" s="16">
        <f>AL535+0.899*AK535</f>
        <v>11.41844184418442</v>
      </c>
      <c r="AU535" s="45"/>
      <c r="AV535" s="4"/>
      <c r="AY535" s="39">
        <v>56.4</v>
      </c>
      <c r="BR535" s="39">
        <v>46.16</v>
      </c>
      <c r="BS535" s="39"/>
      <c r="BT535" s="39">
        <v>115.5</v>
      </c>
      <c r="BV535" s="39">
        <v>4.2699999999999996</v>
      </c>
      <c r="BW535" s="39"/>
      <c r="CA535" s="39">
        <v>109.15</v>
      </c>
      <c r="CB535" s="39">
        <v>8.94</v>
      </c>
      <c r="CC535" s="39">
        <v>16.16</v>
      </c>
      <c r="CD535" s="39">
        <v>1.94</v>
      </c>
      <c r="CE535" s="39">
        <v>9.68</v>
      </c>
      <c r="CF535" s="39">
        <v>3.33</v>
      </c>
      <c r="CG535" s="39">
        <v>1.25</v>
      </c>
      <c r="CH535" s="39">
        <v>4.88</v>
      </c>
      <c r="CI535" s="39">
        <v>1.03</v>
      </c>
      <c r="CJ535" s="39">
        <v>7.1</v>
      </c>
      <c r="CK535" s="39">
        <v>1.64</v>
      </c>
      <c r="CL535" s="39">
        <v>4.97</v>
      </c>
      <c r="CM535" s="39">
        <v>0.81</v>
      </c>
      <c r="CN535" s="39">
        <v>4.92</v>
      </c>
      <c r="CO535" s="39">
        <v>0.78</v>
      </c>
      <c r="CP535" s="39">
        <v>3.02</v>
      </c>
      <c r="CQ535" s="39">
        <v>0.23</v>
      </c>
      <c r="CR535" s="39">
        <v>1.66</v>
      </c>
      <c r="CS535" s="39">
        <v>1.64</v>
      </c>
      <c r="CT535" s="39">
        <v>0.34</v>
      </c>
    </row>
    <row r="536" spans="1:98">
      <c r="A536" s="1" t="s">
        <v>289</v>
      </c>
      <c r="B536" s="4" t="s">
        <v>290</v>
      </c>
      <c r="C536" s="38" t="s">
        <v>102</v>
      </c>
      <c r="D536" s="63">
        <v>67.22</v>
      </c>
      <c r="E536" s="63">
        <v>2.93</v>
      </c>
      <c r="F536" s="1" t="s">
        <v>309</v>
      </c>
      <c r="G536" s="38" t="s">
        <v>103</v>
      </c>
      <c r="H536" s="38"/>
      <c r="I536" s="39"/>
      <c r="J536" s="38" t="s">
        <v>420</v>
      </c>
      <c r="K536" s="37"/>
      <c r="L536" s="4" t="s">
        <v>423</v>
      </c>
      <c r="M536" s="78" t="s">
        <v>867</v>
      </c>
      <c r="N536" s="78"/>
      <c r="O536" s="16" t="s">
        <v>82</v>
      </c>
      <c r="P536" s="12"/>
      <c r="Q536" s="16"/>
      <c r="R536" s="25"/>
      <c r="S536" s="25"/>
      <c r="T536" s="25"/>
      <c r="U536" s="25"/>
      <c r="V536" s="26"/>
      <c r="W536" s="25"/>
      <c r="X536" s="25"/>
      <c r="Y536" s="25"/>
      <c r="Z536" s="25"/>
      <c r="AA536" s="25"/>
      <c r="AB536" s="25"/>
      <c r="AC536" s="15"/>
      <c r="AD536" s="23"/>
      <c r="AE536" s="23"/>
      <c r="AF536" s="23"/>
      <c r="AG536" s="45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45"/>
      <c r="AV536" s="16"/>
      <c r="AW536" s="15"/>
      <c r="AX536" s="15"/>
      <c r="AY536" s="39">
        <v>73</v>
      </c>
      <c r="AZ536" s="39">
        <v>505.44</v>
      </c>
      <c r="BA536" s="39"/>
      <c r="BB536" s="15"/>
      <c r="BC536" s="15"/>
      <c r="BD536" s="39">
        <v>176.76</v>
      </c>
      <c r="BE536" s="39"/>
      <c r="BF536" s="15"/>
      <c r="BG536" s="39">
        <v>144.07</v>
      </c>
      <c r="BH536" s="39">
        <v>75.489999999999995</v>
      </c>
      <c r="BI536" s="39"/>
      <c r="BJ536" s="39">
        <v>129.58000000000001</v>
      </c>
      <c r="BK536" s="39"/>
      <c r="BL536" s="39">
        <v>7.05</v>
      </c>
      <c r="BM536" s="39"/>
      <c r="BN536" s="15"/>
      <c r="BO536" s="15"/>
      <c r="BP536" s="15"/>
      <c r="BQ536" s="39">
        <v>88.43</v>
      </c>
      <c r="BR536" s="39">
        <v>48.55</v>
      </c>
      <c r="BS536" s="15"/>
      <c r="BT536" s="39">
        <v>88.25</v>
      </c>
      <c r="BV536" s="39">
        <v>2.62</v>
      </c>
      <c r="BW536" s="39"/>
      <c r="BX536" s="15"/>
      <c r="BY536" s="15"/>
      <c r="BZ536" s="39">
        <v>0.12</v>
      </c>
      <c r="CA536" s="39">
        <v>112.3</v>
      </c>
      <c r="CB536" s="39">
        <v>9.9600000000000009</v>
      </c>
      <c r="CC536" s="39">
        <v>16.62</v>
      </c>
      <c r="CD536" s="39">
        <v>1.86</v>
      </c>
      <c r="CE536" s="39">
        <v>10.47</v>
      </c>
      <c r="CF536" s="39">
        <v>3.09</v>
      </c>
      <c r="CG536" s="39">
        <v>1.1499999999999999</v>
      </c>
      <c r="CH536" s="39">
        <v>4.62</v>
      </c>
      <c r="CI536" s="39">
        <v>0.99</v>
      </c>
      <c r="CJ536" s="39">
        <v>6.71</v>
      </c>
      <c r="CK536" s="39">
        <v>1.53</v>
      </c>
      <c r="CL536" s="39">
        <v>4.5599999999999996</v>
      </c>
      <c r="CM536" s="39">
        <v>0.9</v>
      </c>
      <c r="CN536" s="39">
        <v>4.5999999999999996</v>
      </c>
      <c r="CO536" s="39">
        <v>0.72</v>
      </c>
      <c r="CP536" s="39">
        <v>2.27</v>
      </c>
      <c r="CQ536" s="39">
        <v>0.19</v>
      </c>
      <c r="CR536" s="39">
        <v>7.08</v>
      </c>
      <c r="CS536" s="39">
        <v>0.97</v>
      </c>
      <c r="CT536" s="39">
        <v>0.51</v>
      </c>
    </row>
    <row r="537" spans="1:98">
      <c r="A537" s="1" t="s">
        <v>289</v>
      </c>
      <c r="B537" s="4" t="s">
        <v>290</v>
      </c>
      <c r="C537" s="40" t="s">
        <v>117</v>
      </c>
      <c r="D537" s="63">
        <v>67.22</v>
      </c>
      <c r="E537" s="63">
        <v>2.93</v>
      </c>
      <c r="F537" s="1" t="s">
        <v>309</v>
      </c>
      <c r="G537" s="4" t="s">
        <v>103</v>
      </c>
      <c r="H537" s="4"/>
      <c r="J537" s="38" t="s">
        <v>420</v>
      </c>
      <c r="K537" s="40"/>
      <c r="L537" s="4" t="s">
        <v>423</v>
      </c>
      <c r="M537" s="78" t="s">
        <v>867</v>
      </c>
      <c r="N537" s="78"/>
      <c r="O537" s="40"/>
      <c r="P537" s="4"/>
      <c r="Q537" s="4"/>
      <c r="R537" s="4">
        <v>49.32</v>
      </c>
      <c r="S537" s="4">
        <v>1.48</v>
      </c>
      <c r="T537" s="4">
        <v>17.73</v>
      </c>
      <c r="U537" s="4">
        <v>14.72</v>
      </c>
      <c r="W537" s="4">
        <v>0.18</v>
      </c>
      <c r="X537" s="4">
        <v>5.34</v>
      </c>
      <c r="Y537" s="4">
        <v>7.73</v>
      </c>
      <c r="Z537" s="4">
        <v>3.13</v>
      </c>
      <c r="AA537" s="4">
        <v>0.26</v>
      </c>
      <c r="AB537" s="4">
        <v>0.11</v>
      </c>
      <c r="AD537" s="23">
        <f>SUM(R537:AB537)+AC537</f>
        <v>100.00000000000001</v>
      </c>
      <c r="AE537" s="21">
        <f>V537+0.899*U537</f>
        <v>13.233280000000001</v>
      </c>
      <c r="AF537" s="23">
        <f>(X537/40.3)/((X537/40.3)+(AE537/71.844))</f>
        <v>0.41839548126071563</v>
      </c>
      <c r="AG537" s="45"/>
      <c r="AH537" s="16">
        <f t="shared" ref="AH537:AR539" si="392">100*R537/SUM($R537:$AB537)</f>
        <v>49.319999999999993</v>
      </c>
      <c r="AI537" s="16">
        <f t="shared" si="392"/>
        <v>1.4799999999999998</v>
      </c>
      <c r="AJ537" s="16">
        <f t="shared" si="392"/>
        <v>17.729999999999997</v>
      </c>
      <c r="AK537" s="16">
        <f t="shared" si="392"/>
        <v>14.719999999999997</v>
      </c>
      <c r="AL537" s="16">
        <f t="shared" si="392"/>
        <v>0</v>
      </c>
      <c r="AM537" s="16">
        <f t="shared" si="392"/>
        <v>0.17999999999999997</v>
      </c>
      <c r="AN537" s="16">
        <f t="shared" si="392"/>
        <v>5.339999999999999</v>
      </c>
      <c r="AO537" s="16">
        <f t="shared" si="392"/>
        <v>7.7299999999999986</v>
      </c>
      <c r="AP537" s="16">
        <f t="shared" si="392"/>
        <v>3.1299999999999994</v>
      </c>
      <c r="AQ537" s="16">
        <f t="shared" si="392"/>
        <v>0.25999999999999995</v>
      </c>
      <c r="AR537" s="16">
        <f t="shared" si="392"/>
        <v>0.10999999999999999</v>
      </c>
      <c r="AS537" s="16">
        <f>SUM(AH537:AR537)</f>
        <v>100</v>
      </c>
      <c r="AT537" s="16">
        <f>AL537+0.899*AK537</f>
        <v>13.233279999999997</v>
      </c>
      <c r="AU537" s="45"/>
      <c r="AV537" s="4"/>
      <c r="AY537" s="39">
        <v>57.54</v>
      </c>
      <c r="BR537" s="39">
        <v>46.15</v>
      </c>
      <c r="BS537" s="39"/>
      <c r="BT537" s="39">
        <v>117.38</v>
      </c>
      <c r="BV537" s="39">
        <v>4.01</v>
      </c>
      <c r="BW537" s="39"/>
      <c r="CA537" s="39">
        <v>82.76</v>
      </c>
      <c r="CB537" s="39">
        <v>8.48</v>
      </c>
      <c r="CC537" s="39">
        <v>14.65</v>
      </c>
      <c r="CD537" s="39">
        <v>1.87</v>
      </c>
      <c r="CE537" s="39">
        <v>9.4700000000000006</v>
      </c>
      <c r="CF537" s="39">
        <v>3.25</v>
      </c>
      <c r="CG537" s="39">
        <v>1.18</v>
      </c>
      <c r="CH537" s="39">
        <v>4.63</v>
      </c>
      <c r="CI537" s="39">
        <v>0.99</v>
      </c>
      <c r="CJ537" s="39">
        <v>6.95</v>
      </c>
      <c r="CK537" s="39">
        <v>1.61</v>
      </c>
      <c r="CL537" s="39">
        <v>4.79</v>
      </c>
      <c r="CM537" s="39">
        <v>0.78</v>
      </c>
      <c r="CN537" s="39">
        <v>4.91</v>
      </c>
      <c r="CO537" s="39">
        <v>0.81</v>
      </c>
      <c r="CP537" s="39">
        <v>2.98</v>
      </c>
      <c r="CQ537" s="39">
        <v>0.2</v>
      </c>
      <c r="CR537" s="39">
        <v>0.73</v>
      </c>
      <c r="CS537" s="39">
        <v>1.62</v>
      </c>
      <c r="CT537" s="39">
        <v>0.31</v>
      </c>
    </row>
    <row r="538" spans="1:98">
      <c r="A538" s="1" t="s">
        <v>289</v>
      </c>
      <c r="B538" s="4" t="s">
        <v>290</v>
      </c>
      <c r="C538" s="46" t="s">
        <v>518</v>
      </c>
      <c r="D538" s="63">
        <v>67.22</v>
      </c>
      <c r="E538" s="63">
        <v>2.93</v>
      </c>
      <c r="F538" s="1" t="s">
        <v>309</v>
      </c>
      <c r="G538" s="46" t="s">
        <v>118</v>
      </c>
      <c r="J538" s="38" t="s">
        <v>420</v>
      </c>
      <c r="L538" s="1" t="s">
        <v>514</v>
      </c>
      <c r="M538" s="78" t="s">
        <v>868</v>
      </c>
      <c r="N538" s="78"/>
      <c r="R538" s="47">
        <v>54.2</v>
      </c>
      <c r="S538" s="47">
        <v>1.33</v>
      </c>
      <c r="T538" s="47">
        <v>15.55</v>
      </c>
      <c r="U538" s="47">
        <v>7.73</v>
      </c>
      <c r="V538" s="47">
        <v>2.68</v>
      </c>
      <c r="W538" s="47">
        <v>0.27</v>
      </c>
      <c r="X538" s="47">
        <v>2.33</v>
      </c>
      <c r="Y538" s="47">
        <v>6.81</v>
      </c>
      <c r="Z538" s="47">
        <v>2.68</v>
      </c>
      <c r="AA538" s="47">
        <v>1.33</v>
      </c>
      <c r="AB538" s="47">
        <v>0.16</v>
      </c>
      <c r="AD538" s="23">
        <f>SUM(R538:AB538)+AC538</f>
        <v>95.070000000000007</v>
      </c>
      <c r="AE538" s="21">
        <f>V538+0.899*U538</f>
        <v>9.62927</v>
      </c>
      <c r="AF538" s="23">
        <f>(X538/40.3)/((X538/40.3)+(AE538/71.844))</f>
        <v>0.30136768630073973</v>
      </c>
      <c r="AH538" s="16">
        <f t="shared" si="392"/>
        <v>57.010623750920367</v>
      </c>
      <c r="AI538" s="16">
        <f t="shared" si="392"/>
        <v>1.3989691806037656</v>
      </c>
      <c r="AJ538" s="16">
        <f t="shared" si="392"/>
        <v>16.356368991269591</v>
      </c>
      <c r="AK538" s="16">
        <f t="shared" si="392"/>
        <v>8.1308509519301566</v>
      </c>
      <c r="AL538" s="16">
        <f t="shared" si="392"/>
        <v>2.8189754917429259</v>
      </c>
      <c r="AM538" s="16">
        <f t="shared" si="392"/>
        <v>0.28400126222783212</v>
      </c>
      <c r="AN538" s="16">
        <f t="shared" si="392"/>
        <v>2.450825707373514</v>
      </c>
      <c r="AO538" s="16">
        <f t="shared" si="392"/>
        <v>7.1631429473019876</v>
      </c>
      <c r="AP538" s="16">
        <f t="shared" si="392"/>
        <v>2.8189754917429259</v>
      </c>
      <c r="AQ538" s="16">
        <f t="shared" si="392"/>
        <v>1.3989691806037656</v>
      </c>
      <c r="AR538" s="16">
        <f t="shared" si="392"/>
        <v>0.16829704428315975</v>
      </c>
      <c r="AS538" s="16">
        <f>SUM(AH538:AR538)</f>
        <v>100.00000000000001</v>
      </c>
      <c r="AT538" s="16">
        <f>AL538+0.899*AK538</f>
        <v>10.128610497528136</v>
      </c>
      <c r="AY538" s="46"/>
      <c r="AZ538" s="41"/>
      <c r="BA538" s="48">
        <v>200</v>
      </c>
      <c r="BB538" s="41"/>
      <c r="BC538" s="48">
        <v>108</v>
      </c>
      <c r="BD538" s="41"/>
      <c r="BE538" s="48">
        <v>35</v>
      </c>
      <c r="BF538" s="41"/>
      <c r="BG538" s="48">
        <v>16</v>
      </c>
      <c r="BH538" s="41"/>
      <c r="BI538" s="48">
        <v>14</v>
      </c>
      <c r="BJ538" s="41"/>
      <c r="BK538" s="48">
        <v>120</v>
      </c>
      <c r="BL538" s="41"/>
      <c r="BM538" s="41"/>
      <c r="BN538" s="41"/>
      <c r="BO538" s="48">
        <v>52</v>
      </c>
      <c r="BP538" s="41"/>
      <c r="BQ538" s="48">
        <v>145</v>
      </c>
      <c r="BR538" s="46"/>
      <c r="BS538" s="48">
        <v>42</v>
      </c>
      <c r="BT538" s="41"/>
      <c r="BU538" s="48">
        <v>146</v>
      </c>
      <c r="BV538" s="41"/>
      <c r="BW538" s="48">
        <v>9</v>
      </c>
      <c r="CA538" s="46">
        <v>280</v>
      </c>
      <c r="CB538" s="46"/>
      <c r="CC538" s="46"/>
      <c r="CD538" s="46"/>
      <c r="CE538" s="46"/>
      <c r="CF538" s="46"/>
      <c r="CG538" s="46"/>
      <c r="CH538" s="46"/>
      <c r="CI538" s="46"/>
      <c r="CJ538" s="46"/>
      <c r="CK538" s="46"/>
      <c r="CL538" s="46"/>
      <c r="CM538" s="46"/>
      <c r="CN538" s="46"/>
      <c r="CO538" s="46"/>
      <c r="CP538" s="46"/>
      <c r="CQ538" s="46"/>
      <c r="CR538" s="46"/>
      <c r="CS538" s="46"/>
      <c r="CT538" s="46"/>
    </row>
    <row r="539" spans="1:98">
      <c r="A539" s="1" t="s">
        <v>289</v>
      </c>
      <c r="B539" s="4" t="s">
        <v>290</v>
      </c>
      <c r="C539" s="46" t="s">
        <v>467</v>
      </c>
      <c r="D539" s="63">
        <v>67.22</v>
      </c>
      <c r="E539" s="63">
        <v>2.93</v>
      </c>
      <c r="F539" s="1" t="s">
        <v>309</v>
      </c>
      <c r="G539" s="46" t="s">
        <v>118</v>
      </c>
      <c r="J539" s="38" t="s">
        <v>420</v>
      </c>
      <c r="L539" s="1" t="s">
        <v>514</v>
      </c>
      <c r="M539" s="78" t="s">
        <v>868</v>
      </c>
      <c r="N539" s="78"/>
      <c r="R539" s="47">
        <v>53.80126471870912</v>
      </c>
      <c r="S539" s="47">
        <v>1.0366332315743567</v>
      </c>
      <c r="T539" s="47">
        <v>16.378805058874839</v>
      </c>
      <c r="U539" s="47"/>
      <c r="V539" s="47">
        <v>10.16937200174444</v>
      </c>
      <c r="W539" s="47">
        <v>0.2487919755778456</v>
      </c>
      <c r="X539" s="47">
        <v>3.5141866550370691</v>
      </c>
      <c r="Y539" s="47">
        <v>8.3345311818578267</v>
      </c>
      <c r="Z539" s="47">
        <v>2.7781770606192762</v>
      </c>
      <c r="AA539" s="47">
        <v>1.0573658962058439</v>
      </c>
      <c r="AB539" s="47">
        <v>0.11402965547317924</v>
      </c>
      <c r="AC539" s="9">
        <v>2.27</v>
      </c>
      <c r="AD539" s="23">
        <f>SUM(R539:AB539)+AC539</f>
        <v>99.703157435673774</v>
      </c>
      <c r="AE539" s="21">
        <f>V539+0.899*U539</f>
        <v>10.16937200174444</v>
      </c>
      <c r="AF539" s="23">
        <f>(X539/40.3)/((X539/40.3)+(AE539/71.844))</f>
        <v>0.38120736617783452</v>
      </c>
      <c r="AH539" s="16">
        <f t="shared" si="392"/>
        <v>55.218640280880955</v>
      </c>
      <c r="AI539" s="16">
        <f t="shared" si="392"/>
        <v>1.0639429726566656</v>
      </c>
      <c r="AJ539" s="16">
        <f t="shared" si="392"/>
        <v>16.810298967975321</v>
      </c>
      <c r="AK539" s="16">
        <f t="shared" si="392"/>
        <v>0</v>
      </c>
      <c r="AL539" s="16">
        <f t="shared" si="392"/>
        <v>10.437280561761892</v>
      </c>
      <c r="AM539" s="16">
        <f t="shared" si="392"/>
        <v>0.25534631343759978</v>
      </c>
      <c r="AN539" s="16">
        <f t="shared" si="392"/>
        <v>3.6067666773060965</v>
      </c>
      <c r="AO539" s="16">
        <f t="shared" si="392"/>
        <v>8.5541015001595913</v>
      </c>
      <c r="AP539" s="16">
        <f t="shared" si="392"/>
        <v>2.8513671667198639</v>
      </c>
      <c r="AQ539" s="16">
        <f t="shared" si="392"/>
        <v>1.0852218321097991</v>
      </c>
      <c r="AR539" s="16">
        <f t="shared" si="392"/>
        <v>0.11703372699223323</v>
      </c>
      <c r="AS539" s="16">
        <f>SUM(AH539:AR539)</f>
        <v>100.00000000000003</v>
      </c>
      <c r="AT539" s="16">
        <f>AL539+0.899*AK539</f>
        <v>10.437280561761892</v>
      </c>
      <c r="AY539" s="46">
        <v>50</v>
      </c>
      <c r="AZ539" s="41"/>
      <c r="BA539" s="48">
        <v>285</v>
      </c>
      <c r="BB539" s="41"/>
      <c r="BC539" s="48">
        <v>152</v>
      </c>
      <c r="BD539" s="41"/>
      <c r="BE539" s="48">
        <v>7</v>
      </c>
      <c r="BF539" s="41"/>
      <c r="BG539" s="48">
        <v>6</v>
      </c>
      <c r="BH539" s="41"/>
      <c r="BI539" s="48">
        <v>17</v>
      </c>
      <c r="BJ539" s="41"/>
      <c r="BK539" s="48">
        <v>106</v>
      </c>
      <c r="BL539" s="41"/>
      <c r="BM539" s="41"/>
      <c r="BN539" s="41"/>
      <c r="BO539" s="48">
        <v>40</v>
      </c>
      <c r="BP539" s="41"/>
      <c r="BQ539" s="48">
        <v>136</v>
      </c>
      <c r="BR539" s="48"/>
      <c r="BS539" s="48">
        <v>31</v>
      </c>
      <c r="BT539" s="41"/>
      <c r="BU539" s="48">
        <v>130</v>
      </c>
      <c r="BV539" s="41"/>
      <c r="BW539" s="48">
        <v>8</v>
      </c>
      <c r="CA539" s="46"/>
      <c r="CB539" s="46">
        <v>17.2</v>
      </c>
      <c r="CC539" s="46">
        <v>42.1</v>
      </c>
      <c r="CD539" s="46"/>
      <c r="CE539" s="46">
        <v>22.1</v>
      </c>
      <c r="CF539" s="46">
        <v>4.84</v>
      </c>
      <c r="CG539" s="46">
        <v>1.36</v>
      </c>
      <c r="CH539" s="46"/>
      <c r="CI539" s="46">
        <v>0.89</v>
      </c>
      <c r="CJ539" s="46"/>
      <c r="CK539" s="46">
        <v>1.4</v>
      </c>
      <c r="CL539" s="46"/>
      <c r="CM539" s="46"/>
      <c r="CN539" s="46">
        <v>3.04</v>
      </c>
      <c r="CO539" s="46">
        <v>0.5</v>
      </c>
      <c r="CP539" s="46">
        <v>3.7</v>
      </c>
      <c r="CQ539" s="46">
        <v>0.53</v>
      </c>
      <c r="CR539" s="46">
        <v>4</v>
      </c>
      <c r="CS539" s="46">
        <v>4.58</v>
      </c>
      <c r="CT539" s="46">
        <v>1.17</v>
      </c>
    </row>
    <row r="540" spans="1:98">
      <c r="A540" s="1" t="s">
        <v>289</v>
      </c>
      <c r="B540" s="4" t="s">
        <v>290</v>
      </c>
      <c r="C540" s="40" t="s">
        <v>129</v>
      </c>
      <c r="D540" s="63">
        <v>67.22</v>
      </c>
      <c r="E540" s="63">
        <v>2.93</v>
      </c>
      <c r="F540" s="1" t="s">
        <v>309</v>
      </c>
      <c r="G540" s="4" t="s">
        <v>118</v>
      </c>
      <c r="H540" s="4"/>
      <c r="J540" s="38" t="s">
        <v>420</v>
      </c>
      <c r="K540" s="40"/>
      <c r="L540" s="4" t="s">
        <v>423</v>
      </c>
      <c r="M540" s="78" t="s">
        <v>867</v>
      </c>
      <c r="N540" s="78"/>
      <c r="O540" s="4"/>
      <c r="P540" s="4"/>
      <c r="Q540" s="4"/>
      <c r="AD540" s="23"/>
      <c r="AE540" s="23"/>
      <c r="AF540" s="23"/>
      <c r="AG540" s="45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45"/>
      <c r="AV540" s="4"/>
      <c r="AY540" s="39">
        <v>39.42</v>
      </c>
      <c r="BR540" s="39">
        <v>39.11</v>
      </c>
      <c r="BS540" s="39"/>
      <c r="BT540" s="39">
        <v>168.89</v>
      </c>
      <c r="BV540" s="39">
        <v>10.95</v>
      </c>
      <c r="BW540" s="39"/>
      <c r="CA540" s="39">
        <v>307.19</v>
      </c>
      <c r="CB540" s="39">
        <v>17.940000000000001</v>
      </c>
      <c r="CC540" s="39">
        <v>41.21</v>
      </c>
      <c r="CD540" s="39">
        <v>5.43</v>
      </c>
      <c r="CE540" s="39">
        <v>21.04</v>
      </c>
      <c r="CF540" s="39">
        <v>5.15</v>
      </c>
      <c r="CG540" s="39">
        <v>1.29</v>
      </c>
      <c r="CH540" s="39">
        <v>6.13</v>
      </c>
      <c r="CI540" s="39">
        <v>1.1399999999999999</v>
      </c>
      <c r="CJ540" s="39">
        <v>6.71</v>
      </c>
      <c r="CK540" s="39">
        <v>1.47</v>
      </c>
      <c r="CL540" s="39">
        <v>4.22</v>
      </c>
      <c r="CM540" s="39">
        <v>0.69</v>
      </c>
      <c r="CN540" s="39">
        <v>4.3099999999999996</v>
      </c>
      <c r="CO540" s="39">
        <v>0.65</v>
      </c>
      <c r="CP540" s="39">
        <v>4.3899999999999997</v>
      </c>
      <c r="CQ540" s="39">
        <v>0.68</v>
      </c>
      <c r="CR540" s="39">
        <v>10.33</v>
      </c>
      <c r="CS540" s="39">
        <v>5.37</v>
      </c>
      <c r="CT540" s="39">
        <v>1.42</v>
      </c>
    </row>
    <row r="541" spans="1:98">
      <c r="A541" s="57" t="s">
        <v>644</v>
      </c>
      <c r="B541" s="46"/>
      <c r="C541" s="4"/>
      <c r="J541" s="38"/>
      <c r="L541" s="4"/>
      <c r="M541" s="4"/>
      <c r="N541" s="4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F541" s="23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Y541" s="46"/>
      <c r="AZ541" s="41"/>
      <c r="BA541" s="48"/>
      <c r="BB541" s="41"/>
      <c r="BC541" s="48"/>
      <c r="BD541" s="41"/>
      <c r="BE541" s="48"/>
      <c r="BF541" s="41"/>
      <c r="BG541" s="48"/>
      <c r="BH541" s="41"/>
      <c r="BI541" s="48"/>
      <c r="BJ541" s="41"/>
      <c r="BK541" s="48"/>
      <c r="BL541" s="41"/>
      <c r="BM541" s="41"/>
      <c r="BN541" s="41"/>
      <c r="BO541" s="48"/>
      <c r="BP541" s="41"/>
      <c r="BQ541" s="48"/>
      <c r="BR541" s="46"/>
      <c r="BS541" s="48"/>
      <c r="BT541" s="41"/>
      <c r="BU541" s="48"/>
      <c r="BV541" s="41"/>
      <c r="BW541" s="48"/>
      <c r="CA541" s="46"/>
      <c r="CB541" s="46"/>
      <c r="CC541" s="46"/>
      <c r="CD541" s="46"/>
      <c r="CE541" s="46"/>
      <c r="CF541" s="46"/>
      <c r="CG541" s="46"/>
      <c r="CH541" s="46"/>
      <c r="CI541" s="46"/>
      <c r="CJ541" s="46"/>
      <c r="CK541" s="46"/>
      <c r="CL541" s="46"/>
      <c r="CM541" s="46"/>
      <c r="CN541" s="46"/>
      <c r="CO541" s="46"/>
      <c r="CP541" s="46"/>
      <c r="CQ541" s="46"/>
      <c r="CR541" s="46"/>
      <c r="CS541" s="46"/>
      <c r="CT541" s="46"/>
    </row>
    <row r="542" spans="1:98">
      <c r="A542" s="1" t="s">
        <v>289</v>
      </c>
      <c r="B542" s="4" t="s">
        <v>290</v>
      </c>
      <c r="C542" s="1" t="s">
        <v>629</v>
      </c>
      <c r="D542" s="63">
        <v>67.22</v>
      </c>
      <c r="E542" s="63">
        <v>2.93</v>
      </c>
      <c r="F542" s="1" t="s">
        <v>308</v>
      </c>
      <c r="G542" s="46" t="s">
        <v>486</v>
      </c>
      <c r="J542" s="38" t="s">
        <v>311</v>
      </c>
      <c r="K542" s="1" t="s">
        <v>520</v>
      </c>
      <c r="L542" s="4" t="s">
        <v>426</v>
      </c>
      <c r="M542" s="78" t="s">
        <v>866</v>
      </c>
      <c r="N542" s="78"/>
      <c r="R542" s="4">
        <v>60.3</v>
      </c>
      <c r="S542" s="1">
        <v>1.05</v>
      </c>
      <c r="T542" s="1">
        <v>15.48</v>
      </c>
      <c r="U542" s="1">
        <v>1.68</v>
      </c>
      <c r="V542" s="1">
        <v>6.5</v>
      </c>
      <c r="W542" s="1">
        <v>0.14000000000000001</v>
      </c>
      <c r="X542" s="1">
        <v>1.63</v>
      </c>
      <c r="Y542" s="1">
        <v>4.0199999999999996</v>
      </c>
      <c r="Z542" s="1">
        <v>3.91</v>
      </c>
      <c r="AA542" s="1">
        <v>2.92</v>
      </c>
      <c r="AB542" s="1">
        <v>0.44</v>
      </c>
      <c r="AC542" s="9">
        <v>1.19</v>
      </c>
      <c r="AD542" s="23">
        <f t="shared" ref="AD542:AD557" si="393">SUM(R542:AB542)+AC542</f>
        <v>99.259999999999991</v>
      </c>
      <c r="AE542" s="21">
        <f t="shared" ref="AE542:AE557" si="394">V542+0.899*U542</f>
        <v>8.0103200000000001</v>
      </c>
      <c r="AF542" s="23">
        <f t="shared" ref="AF542:AF557" si="395">(X542/40.3)/((X542/40.3)+(AE542/71.844))</f>
        <v>0.26619678538369429</v>
      </c>
      <c r="AH542" s="16">
        <f t="shared" ref="AH542:AH557" si="396">100*R542/SUM($R542:$AB542)</f>
        <v>61.486693178342001</v>
      </c>
      <c r="AI542" s="16">
        <f t="shared" ref="AI542:AI557" si="397">100*S542/SUM($R542:$AB542)</f>
        <v>1.0706638115631693</v>
      </c>
      <c r="AJ542" s="16">
        <f t="shared" ref="AJ542:AJ557" si="398">100*T542/SUM($R542:$AB542)</f>
        <v>15.784643621902724</v>
      </c>
      <c r="AK542" s="16">
        <f t="shared" ref="AK542:AK557" si="399">100*U542/SUM($R542:$AB542)</f>
        <v>1.7130620985010707</v>
      </c>
      <c r="AL542" s="16">
        <f t="shared" ref="AL542:AL557" si="400">100*V542/SUM($R542:$AB542)</f>
        <v>6.6279188334862855</v>
      </c>
      <c r="AM542" s="16">
        <f t="shared" ref="AM542:AM557" si="401">100*W542/SUM($R542:$AB542)</f>
        <v>0.14275517487508926</v>
      </c>
      <c r="AN542" s="16">
        <f t="shared" ref="AN542:AN557" si="402">100*X542/SUM($R542:$AB542)</f>
        <v>1.6620781074742532</v>
      </c>
      <c r="AO542" s="16">
        <f t="shared" ref="AO542:AO557" si="403">100*Y542/SUM($R542:$AB542)</f>
        <v>4.0991128785561335</v>
      </c>
      <c r="AP542" s="16">
        <f t="shared" ref="AP542:AP557" si="404">100*Z542/SUM($R542:$AB542)</f>
        <v>3.9869480982971348</v>
      </c>
      <c r="AQ542" s="16">
        <f t="shared" ref="AQ542:AQ557" si="405">100*AA542/SUM($R542:$AB542)</f>
        <v>2.9774650759661467</v>
      </c>
      <c r="AR542" s="16">
        <f t="shared" ref="AR542:AR557" si="406">100*AB542/SUM($R542:$AB542)</f>
        <v>0.4486591210359947</v>
      </c>
      <c r="AS542" s="16">
        <f t="shared" ref="AS542:AS557" si="407">SUM(AH542:AR542)</f>
        <v>100</v>
      </c>
      <c r="AT542" s="16">
        <f t="shared" ref="AT542:AT557" si="408">AL542+0.899*AK542</f>
        <v>8.167961660038749</v>
      </c>
      <c r="AY542" s="46">
        <v>14.2</v>
      </c>
      <c r="AZ542" s="41"/>
      <c r="BA542" s="48">
        <v>45</v>
      </c>
      <c r="BB542" s="41"/>
      <c r="BC542" s="48">
        <v>4</v>
      </c>
      <c r="BD542" s="41"/>
      <c r="BE542" s="48">
        <v>15.4</v>
      </c>
      <c r="BF542" s="41"/>
      <c r="BG542" s="48">
        <v>18</v>
      </c>
      <c r="BH542" s="41"/>
      <c r="BI542" s="48">
        <v>19</v>
      </c>
      <c r="BJ542" s="41"/>
      <c r="BK542" s="48">
        <v>168</v>
      </c>
      <c r="BL542" s="41"/>
      <c r="BM542" s="41"/>
      <c r="BN542" s="41"/>
      <c r="BO542" s="48">
        <v>109</v>
      </c>
      <c r="BP542" s="41"/>
      <c r="BQ542" s="48">
        <v>313</v>
      </c>
      <c r="BR542" s="46"/>
      <c r="BS542" s="48">
        <v>65</v>
      </c>
      <c r="BT542" s="41"/>
      <c r="BU542" s="48">
        <v>919</v>
      </c>
      <c r="BV542" s="41"/>
      <c r="BW542" s="48">
        <v>20</v>
      </c>
      <c r="CA542" s="46"/>
      <c r="CB542" s="46">
        <v>52.7</v>
      </c>
      <c r="CC542" s="46">
        <v>114</v>
      </c>
      <c r="CD542" s="46"/>
      <c r="CE542" s="46">
        <v>58</v>
      </c>
      <c r="CF542" s="46">
        <v>12.1</v>
      </c>
      <c r="CG542" s="46">
        <v>3.16</v>
      </c>
      <c r="CH542" s="46"/>
      <c r="CI542" s="46">
        <v>1.92</v>
      </c>
      <c r="CJ542" s="46"/>
      <c r="CK542" s="46"/>
      <c r="CL542" s="46"/>
      <c r="CM542" s="46"/>
      <c r="CN542" s="46">
        <v>6.8</v>
      </c>
      <c r="CO542" s="46">
        <v>1.06</v>
      </c>
      <c r="CP542" s="46">
        <v>19.7</v>
      </c>
      <c r="CQ542" s="46">
        <v>0.89</v>
      </c>
      <c r="CR542" s="46"/>
      <c r="CS542" s="46">
        <v>4.8</v>
      </c>
      <c r="CT542" s="46">
        <v>1.7</v>
      </c>
    </row>
    <row r="543" spans="1:98">
      <c r="A543" s="1" t="s">
        <v>289</v>
      </c>
      <c r="B543" s="4" t="s">
        <v>290</v>
      </c>
      <c r="C543" s="1" t="s">
        <v>627</v>
      </c>
      <c r="D543" s="63">
        <v>67.22</v>
      </c>
      <c r="E543" s="63">
        <v>2.93</v>
      </c>
      <c r="F543" s="1" t="s">
        <v>308</v>
      </c>
      <c r="G543" s="46" t="s">
        <v>474</v>
      </c>
      <c r="J543" s="38" t="s">
        <v>311</v>
      </c>
      <c r="K543" s="1" t="s">
        <v>52</v>
      </c>
      <c r="L543" s="4" t="s">
        <v>426</v>
      </c>
      <c r="M543" s="78" t="s">
        <v>866</v>
      </c>
      <c r="N543" s="78"/>
      <c r="R543" s="4">
        <v>40.5</v>
      </c>
      <c r="S543" s="1">
        <v>2.48</v>
      </c>
      <c r="T543" s="1">
        <v>23.3</v>
      </c>
      <c r="U543" s="1">
        <v>13.63</v>
      </c>
      <c r="V543" s="1">
        <v>2.3199999999999998</v>
      </c>
      <c r="W543" s="1">
        <v>0.09</v>
      </c>
      <c r="X543" s="1">
        <v>0.99</v>
      </c>
      <c r="Y543" s="1">
        <v>0.9</v>
      </c>
      <c r="Z543" s="1">
        <v>1.71</v>
      </c>
      <c r="AA543" s="1">
        <v>0.56000000000000005</v>
      </c>
      <c r="AB543" s="1">
        <v>0.13</v>
      </c>
      <c r="AC543" s="9">
        <v>12.25</v>
      </c>
      <c r="AD543" s="23">
        <f t="shared" si="393"/>
        <v>98.859999999999985</v>
      </c>
      <c r="AE543" s="21">
        <f t="shared" si="394"/>
        <v>14.573370000000001</v>
      </c>
      <c r="AF543" s="23">
        <f t="shared" si="395"/>
        <v>0.10802257472848338</v>
      </c>
      <c r="AH543" s="16">
        <f t="shared" si="396"/>
        <v>46.761343955663328</v>
      </c>
      <c r="AI543" s="16">
        <f t="shared" si="397"/>
        <v>2.8634106916060507</v>
      </c>
      <c r="AJ543" s="16">
        <f t="shared" si="398"/>
        <v>26.902205288072974</v>
      </c>
      <c r="AK543" s="16">
        <f t="shared" si="399"/>
        <v>15.737212792980028</v>
      </c>
      <c r="AL543" s="16">
        <f t="shared" si="400"/>
        <v>2.6786745179540472</v>
      </c>
      <c r="AM543" s="16">
        <f t="shared" si="401"/>
        <v>0.10391409767925183</v>
      </c>
      <c r="AN543" s="16">
        <f t="shared" si="402"/>
        <v>1.1430550744717702</v>
      </c>
      <c r="AO543" s="16">
        <f t="shared" si="403"/>
        <v>1.0391409767925184</v>
      </c>
      <c r="AP543" s="16">
        <f t="shared" si="404"/>
        <v>1.9743678559057849</v>
      </c>
      <c r="AQ543" s="16">
        <f t="shared" si="405"/>
        <v>0.64657660778201154</v>
      </c>
      <c r="AR543" s="16">
        <f t="shared" si="406"/>
        <v>0.15009814109225264</v>
      </c>
      <c r="AS543" s="16">
        <f t="shared" si="407"/>
        <v>100.00000000000003</v>
      </c>
      <c r="AT543" s="16">
        <f t="shared" si="408"/>
        <v>16.826428818843095</v>
      </c>
      <c r="AY543" s="46"/>
      <c r="AZ543" s="41"/>
      <c r="BA543" s="48">
        <v>267</v>
      </c>
      <c r="BB543" s="41"/>
      <c r="BC543" s="48">
        <v>46</v>
      </c>
      <c r="BD543" s="41"/>
      <c r="BE543" s="48">
        <v>39</v>
      </c>
      <c r="BF543" s="41"/>
      <c r="BG543" s="48">
        <v>132</v>
      </c>
      <c r="BH543" s="41"/>
      <c r="BI543" s="48">
        <v>152</v>
      </c>
      <c r="BJ543" s="41"/>
      <c r="BK543" s="48">
        <v>103</v>
      </c>
      <c r="BL543" s="41"/>
      <c r="BM543" s="41"/>
      <c r="BN543" s="41"/>
      <c r="BO543" s="48">
        <v>16</v>
      </c>
      <c r="BP543" s="41"/>
      <c r="BQ543" s="48">
        <v>44</v>
      </c>
      <c r="BR543" s="46"/>
      <c r="BS543" s="48">
        <v>15</v>
      </c>
      <c r="BT543" s="41"/>
      <c r="BU543" s="48">
        <v>175</v>
      </c>
      <c r="BV543" s="41"/>
      <c r="BW543" s="48">
        <v>12</v>
      </c>
      <c r="CA543" s="46"/>
      <c r="CB543" s="46"/>
      <c r="CC543" s="46"/>
      <c r="CD543" s="46"/>
      <c r="CE543" s="46"/>
      <c r="CF543" s="46"/>
      <c r="CG543" s="46"/>
      <c r="CH543" s="46"/>
      <c r="CI543" s="46"/>
      <c r="CJ543" s="46"/>
      <c r="CK543" s="46"/>
      <c r="CL543" s="46"/>
      <c r="CM543" s="46"/>
      <c r="CN543" s="46"/>
      <c r="CO543" s="46"/>
      <c r="CP543" s="46"/>
      <c r="CQ543" s="46"/>
      <c r="CR543" s="46"/>
      <c r="CS543" s="46"/>
      <c r="CT543" s="46"/>
    </row>
    <row r="544" spans="1:98">
      <c r="A544" s="1" t="s">
        <v>289</v>
      </c>
      <c r="B544" s="4" t="s">
        <v>290</v>
      </c>
      <c r="C544" s="1" t="s">
        <v>628</v>
      </c>
      <c r="D544" s="63">
        <v>67.22</v>
      </c>
      <c r="E544" s="63">
        <v>2.93</v>
      </c>
      <c r="F544" s="1" t="s">
        <v>308</v>
      </c>
      <c r="G544" s="46" t="s">
        <v>475</v>
      </c>
      <c r="J544" s="38" t="s">
        <v>311</v>
      </c>
      <c r="K544" s="1" t="s">
        <v>52</v>
      </c>
      <c r="L544" s="4" t="s">
        <v>426</v>
      </c>
      <c r="M544" s="78" t="s">
        <v>866</v>
      </c>
      <c r="N544" s="78"/>
      <c r="R544" s="4">
        <v>42.8</v>
      </c>
      <c r="S544" s="1">
        <v>3.83</v>
      </c>
      <c r="T544" s="1">
        <v>17.91</v>
      </c>
      <c r="U544" s="1">
        <v>18.350000000000001</v>
      </c>
      <c r="V544" s="1">
        <v>1.91</v>
      </c>
      <c r="W544" s="1">
        <v>7.0000000000000007E-2</v>
      </c>
      <c r="X544" s="1">
        <v>1.89</v>
      </c>
      <c r="Y544" s="1">
        <v>1.2</v>
      </c>
      <c r="Z544" s="1">
        <v>1.71</v>
      </c>
      <c r="AA544" s="1">
        <v>0.64</v>
      </c>
      <c r="AB544" s="1">
        <v>0.11</v>
      </c>
      <c r="AC544" s="9">
        <v>8.43</v>
      </c>
      <c r="AD544" s="23">
        <f t="shared" si="393"/>
        <v>98.849999999999966</v>
      </c>
      <c r="AE544" s="21">
        <f t="shared" si="394"/>
        <v>18.406650000000003</v>
      </c>
      <c r="AF544" s="23">
        <f t="shared" si="395"/>
        <v>0.15472802378509401</v>
      </c>
      <c r="AH544" s="16">
        <f t="shared" si="396"/>
        <v>47.334660473346617</v>
      </c>
      <c r="AI544" s="16">
        <f t="shared" si="397"/>
        <v>4.2357885423578869</v>
      </c>
      <c r="AJ544" s="16">
        <f t="shared" si="398"/>
        <v>19.807564698075652</v>
      </c>
      <c r="AK544" s="16">
        <f t="shared" si="399"/>
        <v>20.294182702941836</v>
      </c>
      <c r="AL544" s="16">
        <f t="shared" si="400"/>
        <v>2.1123645211236459</v>
      </c>
      <c r="AM544" s="16">
        <f t="shared" si="401"/>
        <v>7.7416500774165037E-2</v>
      </c>
      <c r="AN544" s="16">
        <f t="shared" si="402"/>
        <v>2.0902455209024557</v>
      </c>
      <c r="AO544" s="16">
        <f t="shared" si="403"/>
        <v>1.3271400132714006</v>
      </c>
      <c r="AP544" s="16">
        <f t="shared" si="404"/>
        <v>1.8911745189117457</v>
      </c>
      <c r="AQ544" s="16">
        <f t="shared" si="405"/>
        <v>0.70780800707808023</v>
      </c>
      <c r="AR544" s="16">
        <f t="shared" si="406"/>
        <v>0.12165450121654504</v>
      </c>
      <c r="AS544" s="16">
        <f t="shared" si="407"/>
        <v>100.00000000000003</v>
      </c>
      <c r="AT544" s="16">
        <f t="shared" si="408"/>
        <v>20.356834771068357</v>
      </c>
      <c r="AY544" s="46"/>
      <c r="AZ544" s="41"/>
      <c r="BA544" s="48">
        <v>391</v>
      </c>
      <c r="BB544" s="41"/>
      <c r="BC544" s="48">
        <v>39</v>
      </c>
      <c r="BD544" s="41"/>
      <c r="BE544" s="48">
        <v>40</v>
      </c>
      <c r="BF544" s="41"/>
      <c r="BG544" s="48">
        <v>115</v>
      </c>
      <c r="BH544" s="41"/>
      <c r="BI544" s="48">
        <v>206</v>
      </c>
      <c r="BJ544" s="41"/>
      <c r="BK544" s="48">
        <v>131</v>
      </c>
      <c r="BL544" s="41"/>
      <c r="BM544" s="41"/>
      <c r="BN544" s="41"/>
      <c r="BO544" s="48">
        <v>34</v>
      </c>
      <c r="BP544" s="41"/>
      <c r="BQ544" s="48">
        <v>55</v>
      </c>
      <c r="BR544" s="46"/>
      <c r="BS544" s="48">
        <v>27</v>
      </c>
      <c r="BT544" s="41"/>
      <c r="BU544" s="48">
        <v>280</v>
      </c>
      <c r="BV544" s="41"/>
      <c r="BW544" s="48">
        <v>31</v>
      </c>
      <c r="CA544" s="46"/>
      <c r="CB544" s="46"/>
      <c r="CC544" s="46"/>
      <c r="CD544" s="46"/>
      <c r="CE544" s="46"/>
      <c r="CF544" s="46"/>
      <c r="CG544" s="46"/>
      <c r="CH544" s="46"/>
      <c r="CI544" s="46"/>
      <c r="CJ544" s="46"/>
      <c r="CK544" s="46"/>
      <c r="CL544" s="46"/>
      <c r="CM544" s="46"/>
      <c r="CN544" s="46"/>
      <c r="CO544" s="46"/>
      <c r="CP544" s="46"/>
      <c r="CQ544" s="46"/>
      <c r="CR544" s="46"/>
      <c r="CS544" s="46"/>
      <c r="CT544" s="46"/>
    </row>
    <row r="545" spans="1:98">
      <c r="A545" s="1" t="s">
        <v>289</v>
      </c>
      <c r="B545" s="4" t="s">
        <v>290</v>
      </c>
      <c r="C545" s="1" t="s">
        <v>630</v>
      </c>
      <c r="D545" s="63">
        <v>67.22</v>
      </c>
      <c r="E545" s="63">
        <v>2.93</v>
      </c>
      <c r="F545" s="1" t="s">
        <v>308</v>
      </c>
      <c r="G545" s="46" t="s">
        <v>483</v>
      </c>
      <c r="J545" s="38" t="s">
        <v>311</v>
      </c>
      <c r="K545" s="1" t="s">
        <v>522</v>
      </c>
      <c r="L545" s="4" t="s">
        <v>426</v>
      </c>
      <c r="M545" s="78" t="s">
        <v>866</v>
      </c>
      <c r="N545" s="78"/>
      <c r="R545" s="4">
        <v>50.9</v>
      </c>
      <c r="S545" s="1">
        <v>3.01</v>
      </c>
      <c r="T545" s="1">
        <v>13.06</v>
      </c>
      <c r="U545" s="1">
        <v>15.93</v>
      </c>
      <c r="V545" s="1">
        <v>2.14</v>
      </c>
      <c r="W545" s="1">
        <v>7.0000000000000007E-2</v>
      </c>
      <c r="X545" s="1">
        <v>3.36</v>
      </c>
      <c r="Y545" s="1">
        <v>1.77</v>
      </c>
      <c r="Z545" s="1">
        <v>1.72</v>
      </c>
      <c r="AA545" s="1">
        <v>1.35</v>
      </c>
      <c r="AB545" s="1">
        <v>0.08</v>
      </c>
      <c r="AC545" s="9">
        <v>5.76</v>
      </c>
      <c r="AD545" s="23">
        <f t="shared" si="393"/>
        <v>99.149999999999991</v>
      </c>
      <c r="AE545" s="21">
        <f t="shared" si="394"/>
        <v>16.461069999999999</v>
      </c>
      <c r="AF545" s="23">
        <f t="shared" si="395"/>
        <v>0.26680148854939728</v>
      </c>
      <c r="AH545" s="16">
        <f t="shared" si="396"/>
        <v>54.502623407217058</v>
      </c>
      <c r="AI545" s="16">
        <f t="shared" si="397"/>
        <v>3.2230431523717749</v>
      </c>
      <c r="AJ545" s="16">
        <f t="shared" si="398"/>
        <v>13.984366634543315</v>
      </c>
      <c r="AK545" s="16">
        <f t="shared" si="399"/>
        <v>17.057500803083844</v>
      </c>
      <c r="AL545" s="16">
        <f t="shared" si="400"/>
        <v>2.2914658957061786</v>
      </c>
      <c r="AM545" s="16">
        <f t="shared" si="401"/>
        <v>7.4954491915622673E-2</v>
      </c>
      <c r="AN545" s="16">
        <f t="shared" si="402"/>
        <v>3.5978156119498883</v>
      </c>
      <c r="AO545" s="16">
        <f t="shared" si="403"/>
        <v>1.895277867009316</v>
      </c>
      <c r="AP545" s="16">
        <f t="shared" si="404"/>
        <v>1.8417389442124428</v>
      </c>
      <c r="AQ545" s="16">
        <f t="shared" si="405"/>
        <v>1.4455509155155801</v>
      </c>
      <c r="AR545" s="16">
        <f t="shared" si="406"/>
        <v>8.5662276474997329E-2</v>
      </c>
      <c r="AS545" s="16">
        <f t="shared" si="407"/>
        <v>100</v>
      </c>
      <c r="AT545" s="16">
        <f t="shared" si="408"/>
        <v>17.626159117678554</v>
      </c>
      <c r="AY545" s="46">
        <v>37.799999999999997</v>
      </c>
      <c r="AZ545" s="41"/>
      <c r="BA545" s="48">
        <v>129</v>
      </c>
      <c r="BB545" s="41"/>
      <c r="BC545" s="48">
        <v>48</v>
      </c>
      <c r="BD545" s="41"/>
      <c r="BE545" s="48">
        <v>35</v>
      </c>
      <c r="BF545" s="41"/>
      <c r="BG545" s="48">
        <v>90</v>
      </c>
      <c r="BH545" s="41"/>
      <c r="BI545" s="48">
        <v>328</v>
      </c>
      <c r="BJ545" s="41"/>
      <c r="BK545" s="48">
        <v>80</v>
      </c>
      <c r="BL545" s="41"/>
      <c r="BM545" s="41"/>
      <c r="BN545" s="41"/>
      <c r="BO545" s="48">
        <v>94</v>
      </c>
      <c r="BP545" s="41"/>
      <c r="BQ545" s="48">
        <v>130</v>
      </c>
      <c r="BR545" s="46"/>
      <c r="BS545" s="48">
        <v>59</v>
      </c>
      <c r="BT545" s="41"/>
      <c r="BU545" s="48">
        <v>287</v>
      </c>
      <c r="BV545" s="41"/>
      <c r="BW545" s="48">
        <v>30</v>
      </c>
      <c r="CA545" s="46"/>
      <c r="CB545" s="46">
        <v>23.9</v>
      </c>
      <c r="CC545" s="46">
        <v>96</v>
      </c>
      <c r="CD545" s="46"/>
      <c r="CE545" s="46">
        <v>50</v>
      </c>
      <c r="CF545" s="46">
        <v>13.6</v>
      </c>
      <c r="CG545" s="46">
        <v>4.6500000000000004</v>
      </c>
      <c r="CH545" s="46"/>
      <c r="CI545" s="46">
        <v>2.4</v>
      </c>
      <c r="CJ545" s="46"/>
      <c r="CK545" s="46"/>
      <c r="CL545" s="46"/>
      <c r="CM545" s="46"/>
      <c r="CN545" s="46">
        <v>6.1</v>
      </c>
      <c r="CO545" s="46">
        <v>0.77</v>
      </c>
      <c r="CP545" s="46">
        <v>6.9</v>
      </c>
      <c r="CQ545" s="46">
        <v>2.23</v>
      </c>
      <c r="CR545" s="46"/>
      <c r="CS545" s="46">
        <v>2.8</v>
      </c>
      <c r="CT545" s="46">
        <v>0.77</v>
      </c>
    </row>
    <row r="546" spans="1:98">
      <c r="A546" s="1" t="s">
        <v>289</v>
      </c>
      <c r="B546" s="4" t="s">
        <v>290</v>
      </c>
      <c r="C546" s="1" t="s">
        <v>631</v>
      </c>
      <c r="D546" s="63">
        <v>67.22</v>
      </c>
      <c r="E546" s="63">
        <v>2.93</v>
      </c>
      <c r="F546" s="1" t="s">
        <v>308</v>
      </c>
      <c r="G546" s="46" t="s">
        <v>482</v>
      </c>
      <c r="J546" s="38" t="s">
        <v>311</v>
      </c>
      <c r="K546" s="1" t="s">
        <v>522</v>
      </c>
      <c r="L546" s="4" t="s">
        <v>426</v>
      </c>
      <c r="M546" s="78" t="s">
        <v>866</v>
      </c>
      <c r="N546" s="78"/>
      <c r="R546" s="4">
        <v>49.8</v>
      </c>
      <c r="S546" s="1">
        <v>3.24</v>
      </c>
      <c r="T546" s="1">
        <v>13.13</v>
      </c>
      <c r="U546" s="1">
        <v>17.489999999999998</v>
      </c>
      <c r="V546" s="1">
        <v>0.9</v>
      </c>
      <c r="W546" s="1">
        <v>0.08</v>
      </c>
      <c r="X546" s="1">
        <v>3.23</v>
      </c>
      <c r="Y546" s="1">
        <v>1.6</v>
      </c>
      <c r="Z546" s="1">
        <v>1.69</v>
      </c>
      <c r="AA546" s="1">
        <v>1.54</v>
      </c>
      <c r="AB546" s="1">
        <v>0.19</v>
      </c>
      <c r="AC546" s="9">
        <v>6.44</v>
      </c>
      <c r="AD546" s="23">
        <f t="shared" si="393"/>
        <v>99.33</v>
      </c>
      <c r="AE546" s="21">
        <f t="shared" si="394"/>
        <v>16.62351</v>
      </c>
      <c r="AF546" s="23">
        <f t="shared" si="395"/>
        <v>0.25727311111463003</v>
      </c>
      <c r="AH546" s="16">
        <f t="shared" si="396"/>
        <v>53.61179890192701</v>
      </c>
      <c r="AI546" s="16">
        <f t="shared" si="397"/>
        <v>3.4879965550651306</v>
      </c>
      <c r="AJ546" s="16">
        <f t="shared" si="398"/>
        <v>14.13499838518678</v>
      </c>
      <c r="AK546" s="16">
        <f t="shared" si="399"/>
        <v>18.828722144471953</v>
      </c>
      <c r="AL546" s="16">
        <f t="shared" si="400"/>
        <v>0.96888793196253631</v>
      </c>
      <c r="AM546" s="16">
        <f t="shared" si="401"/>
        <v>8.6123371730003229E-2</v>
      </c>
      <c r="AN546" s="16">
        <f t="shared" si="402"/>
        <v>3.4772311335988806</v>
      </c>
      <c r="AO546" s="16">
        <f t="shared" si="403"/>
        <v>1.7224674346000646</v>
      </c>
      <c r="AP546" s="16">
        <f t="shared" si="404"/>
        <v>1.8193562277963182</v>
      </c>
      <c r="AQ546" s="16">
        <f t="shared" si="405"/>
        <v>1.6578749058025621</v>
      </c>
      <c r="AR546" s="16">
        <f t="shared" si="406"/>
        <v>0.20454300785875767</v>
      </c>
      <c r="AS546" s="16">
        <f t="shared" si="407"/>
        <v>99.999999999999986</v>
      </c>
      <c r="AT546" s="16">
        <f t="shared" si="408"/>
        <v>17.895909139842825</v>
      </c>
      <c r="AY546" s="46">
        <v>26.6</v>
      </c>
      <c r="AZ546" s="41"/>
      <c r="BA546" s="48">
        <v>152</v>
      </c>
      <c r="BB546" s="41"/>
      <c r="BC546" s="48">
        <v>50</v>
      </c>
      <c r="BD546" s="41"/>
      <c r="BE546" s="48">
        <v>16.600000000000001</v>
      </c>
      <c r="BF546" s="41"/>
      <c r="BG546" s="48">
        <v>68</v>
      </c>
      <c r="BH546" s="41"/>
      <c r="BI546" s="48">
        <v>168</v>
      </c>
      <c r="BJ546" s="41"/>
      <c r="BK546" s="48">
        <v>105</v>
      </c>
      <c r="BL546" s="41"/>
      <c r="BM546" s="41"/>
      <c r="BN546" s="41"/>
      <c r="BO546" s="48">
        <v>57</v>
      </c>
      <c r="BP546" s="41"/>
      <c r="BQ546" s="48">
        <v>78</v>
      </c>
      <c r="BR546" s="46"/>
      <c r="BS546" s="48">
        <v>51</v>
      </c>
      <c r="BT546" s="41"/>
      <c r="BU546" s="48">
        <v>303</v>
      </c>
      <c r="BV546" s="41"/>
      <c r="BW546" s="48">
        <v>36</v>
      </c>
      <c r="CA546" s="46"/>
      <c r="CB546" s="46">
        <v>25.2</v>
      </c>
      <c r="CC546" s="46">
        <v>68</v>
      </c>
      <c r="CD546" s="46"/>
      <c r="CE546" s="46">
        <v>35.799999999999997</v>
      </c>
      <c r="CF546" s="46">
        <v>8.1999999999999993</v>
      </c>
      <c r="CG546" s="46">
        <v>2.57</v>
      </c>
      <c r="CH546" s="46"/>
      <c r="CI546" s="46">
        <v>1.31</v>
      </c>
      <c r="CJ546" s="46"/>
      <c r="CK546" s="46"/>
      <c r="CL546" s="46"/>
      <c r="CM546" s="46"/>
      <c r="CN546" s="46">
        <v>3.4</v>
      </c>
      <c r="CO546" s="46">
        <v>0.51</v>
      </c>
      <c r="CP546" s="46">
        <v>6.1</v>
      </c>
      <c r="CQ546" s="46">
        <v>2.17</v>
      </c>
      <c r="CR546" s="46"/>
      <c r="CS546" s="46">
        <v>2.5299999999999998</v>
      </c>
      <c r="CT546" s="46">
        <v>0.65</v>
      </c>
    </row>
    <row r="547" spans="1:98">
      <c r="A547" s="1" t="s">
        <v>289</v>
      </c>
      <c r="B547" s="4" t="s">
        <v>290</v>
      </c>
      <c r="C547" s="1" t="s">
        <v>632</v>
      </c>
      <c r="D547" s="63">
        <v>67.22</v>
      </c>
      <c r="E547" s="63">
        <v>2.93</v>
      </c>
      <c r="F547" s="1" t="s">
        <v>308</v>
      </c>
      <c r="G547" s="46" t="s">
        <v>484</v>
      </c>
      <c r="J547" s="38" t="s">
        <v>311</v>
      </c>
      <c r="K547" s="1" t="s">
        <v>522</v>
      </c>
      <c r="L547" s="4" t="s">
        <v>426</v>
      </c>
      <c r="M547" s="78" t="s">
        <v>866</v>
      </c>
      <c r="N547" s="78"/>
      <c r="R547" s="4">
        <v>51.5</v>
      </c>
      <c r="S547" s="1">
        <v>2.71</v>
      </c>
      <c r="T547" s="1">
        <v>12.77</v>
      </c>
      <c r="U547" s="1">
        <v>14.24</v>
      </c>
      <c r="V547" s="1">
        <v>1.95</v>
      </c>
      <c r="W547" s="1">
        <v>0.14000000000000001</v>
      </c>
      <c r="X547" s="1">
        <v>3.71</v>
      </c>
      <c r="Y547" s="1">
        <v>1.57</v>
      </c>
      <c r="Z547" s="1">
        <v>1.8</v>
      </c>
      <c r="AA547" s="1">
        <v>1.4</v>
      </c>
      <c r="AB547" s="1">
        <v>0.13</v>
      </c>
      <c r="AC547" s="9">
        <v>7.56</v>
      </c>
      <c r="AD547" s="23">
        <f t="shared" si="393"/>
        <v>99.47999999999999</v>
      </c>
      <c r="AE547" s="21">
        <f t="shared" si="394"/>
        <v>14.751759999999999</v>
      </c>
      <c r="AF547" s="23">
        <f t="shared" si="395"/>
        <v>0.30955834417591599</v>
      </c>
      <c r="AH547" s="16">
        <f t="shared" si="396"/>
        <v>56.026979982593566</v>
      </c>
      <c r="AI547" s="16">
        <f t="shared" si="397"/>
        <v>2.9482158398607488</v>
      </c>
      <c r="AJ547" s="16">
        <f t="shared" si="398"/>
        <v>13.892515230635336</v>
      </c>
      <c r="AK547" s="16">
        <f t="shared" si="399"/>
        <v>15.491731940818104</v>
      </c>
      <c r="AL547" s="16">
        <f t="shared" si="400"/>
        <v>2.1214099216710185</v>
      </c>
      <c r="AM547" s="16">
        <f t="shared" si="401"/>
        <v>0.1523063533507398</v>
      </c>
      <c r="AN547" s="16">
        <f t="shared" si="402"/>
        <v>4.0361183637946043</v>
      </c>
      <c r="AO547" s="16">
        <f t="shared" si="403"/>
        <v>1.7080069625761534</v>
      </c>
      <c r="AP547" s="16">
        <f t="shared" si="404"/>
        <v>1.9582245430809402</v>
      </c>
      <c r="AQ547" s="16">
        <f t="shared" si="405"/>
        <v>1.5230635335073979</v>
      </c>
      <c r="AR547" s="16">
        <f t="shared" si="406"/>
        <v>0.14142732811140124</v>
      </c>
      <c r="AS547" s="16">
        <f t="shared" si="407"/>
        <v>100</v>
      </c>
      <c r="AT547" s="16">
        <f t="shared" si="408"/>
        <v>16.048476936466493</v>
      </c>
      <c r="AY547" s="46"/>
      <c r="AZ547" s="41"/>
      <c r="BA547" s="48">
        <v>161</v>
      </c>
      <c r="BB547" s="41"/>
      <c r="BC547" s="48">
        <v>42</v>
      </c>
      <c r="BD547" s="41"/>
      <c r="BE547" s="48">
        <v>28</v>
      </c>
      <c r="BF547" s="41"/>
      <c r="BG547" s="48">
        <v>72</v>
      </c>
      <c r="BH547" s="41"/>
      <c r="BI547" s="48">
        <v>160</v>
      </c>
      <c r="BJ547" s="41"/>
      <c r="BK547" s="48">
        <v>181</v>
      </c>
      <c r="BL547" s="41"/>
      <c r="BM547" s="41"/>
      <c r="BN547" s="41"/>
      <c r="BO547" s="48">
        <v>52</v>
      </c>
      <c r="BP547" s="41"/>
      <c r="BQ547" s="48">
        <v>66</v>
      </c>
      <c r="BR547" s="46"/>
      <c r="BS547" s="48">
        <v>48</v>
      </c>
      <c r="BT547" s="41"/>
      <c r="BU547" s="48">
        <v>194</v>
      </c>
      <c r="BV547" s="41"/>
      <c r="BW547" s="48">
        <v>16</v>
      </c>
      <c r="CA547" s="46"/>
      <c r="CB547" s="46"/>
      <c r="CC547" s="46"/>
      <c r="CD547" s="46"/>
      <c r="CE547" s="46"/>
      <c r="CF547" s="46"/>
      <c r="CG547" s="46"/>
      <c r="CH547" s="46"/>
      <c r="CI547" s="46"/>
      <c r="CJ547" s="46"/>
      <c r="CK547" s="46"/>
      <c r="CL547" s="46"/>
      <c r="CM547" s="46"/>
      <c r="CN547" s="46"/>
      <c r="CO547" s="46"/>
      <c r="CP547" s="46"/>
      <c r="CQ547" s="46"/>
      <c r="CR547" s="46"/>
      <c r="CS547" s="46"/>
      <c r="CT547" s="46"/>
    </row>
    <row r="548" spans="1:98">
      <c r="A548" s="1" t="s">
        <v>289</v>
      </c>
      <c r="B548" s="4" t="s">
        <v>290</v>
      </c>
      <c r="C548" s="1" t="s">
        <v>633</v>
      </c>
      <c r="D548" s="63">
        <v>67.22</v>
      </c>
      <c r="E548" s="63">
        <v>2.93</v>
      </c>
      <c r="F548" s="1" t="s">
        <v>308</v>
      </c>
      <c r="G548" s="46" t="s">
        <v>478</v>
      </c>
      <c r="J548" s="38" t="s">
        <v>311</v>
      </c>
      <c r="K548" s="1" t="s">
        <v>52</v>
      </c>
      <c r="L548" s="4" t="s">
        <v>426</v>
      </c>
      <c r="M548" s="78" t="s">
        <v>866</v>
      </c>
      <c r="N548" s="78"/>
      <c r="R548" s="4">
        <v>47.9</v>
      </c>
      <c r="S548" s="1">
        <v>3.01</v>
      </c>
      <c r="T548" s="1">
        <v>13.83</v>
      </c>
      <c r="U548" s="1">
        <v>17.260000000000002</v>
      </c>
      <c r="V548" s="1">
        <v>0.99</v>
      </c>
      <c r="W548" s="1">
        <v>0.12</v>
      </c>
      <c r="X548" s="1">
        <v>4.6100000000000003</v>
      </c>
      <c r="Y548" s="1">
        <v>3.99</v>
      </c>
      <c r="Z548" s="1">
        <v>1.86</v>
      </c>
      <c r="AA548" s="1">
        <v>0.92</v>
      </c>
      <c r="AB548" s="1">
        <v>0.12</v>
      </c>
      <c r="AC548" s="9">
        <v>5.0999999999999996</v>
      </c>
      <c r="AD548" s="23">
        <f t="shared" si="393"/>
        <v>99.71</v>
      </c>
      <c r="AE548" s="21">
        <f t="shared" si="394"/>
        <v>16.506740000000001</v>
      </c>
      <c r="AF548" s="23">
        <f t="shared" si="395"/>
        <v>0.33238997777631391</v>
      </c>
      <c r="AH548" s="16">
        <f t="shared" si="396"/>
        <v>50.628897579537046</v>
      </c>
      <c r="AI548" s="16">
        <f t="shared" si="397"/>
        <v>3.1814818729521193</v>
      </c>
      <c r="AJ548" s="16">
        <f t="shared" si="398"/>
        <v>14.617905084029173</v>
      </c>
      <c r="AK548" s="16">
        <f t="shared" si="399"/>
        <v>18.243314660183916</v>
      </c>
      <c r="AL548" s="16">
        <f t="shared" si="400"/>
        <v>1.046401014691893</v>
      </c>
      <c r="AM548" s="16">
        <f t="shared" si="401"/>
        <v>0.12683648662932037</v>
      </c>
      <c r="AN548" s="16">
        <f t="shared" si="402"/>
        <v>4.872635028009725</v>
      </c>
      <c r="AO548" s="16">
        <f t="shared" si="403"/>
        <v>4.2173131804249024</v>
      </c>
      <c r="AP548" s="16">
        <f t="shared" si="404"/>
        <v>1.9659655427544658</v>
      </c>
      <c r="AQ548" s="16">
        <f t="shared" si="405"/>
        <v>0.97241306415812279</v>
      </c>
      <c r="AR548" s="16">
        <f t="shared" si="406"/>
        <v>0.12683648662932037</v>
      </c>
      <c r="AS548" s="16">
        <f t="shared" si="407"/>
        <v>99.999999999999972</v>
      </c>
      <c r="AT548" s="16">
        <f t="shared" si="408"/>
        <v>17.447140894197233</v>
      </c>
      <c r="AY548" s="46">
        <v>37.299999999999997</v>
      </c>
      <c r="AZ548" s="41"/>
      <c r="BA548" s="48">
        <v>222</v>
      </c>
      <c r="BB548" s="41"/>
      <c r="BC548" s="48">
        <v>84</v>
      </c>
      <c r="BD548" s="41"/>
      <c r="BE548" s="48">
        <v>37.6</v>
      </c>
      <c r="BF548" s="41"/>
      <c r="BG548" s="48">
        <v>71</v>
      </c>
      <c r="BH548" s="41"/>
      <c r="BI548" s="48">
        <v>89</v>
      </c>
      <c r="BJ548" s="41"/>
      <c r="BK548" s="48">
        <v>79</v>
      </c>
      <c r="BL548" s="41"/>
      <c r="BM548" s="41"/>
      <c r="BN548" s="41"/>
      <c r="BO548" s="48">
        <v>20</v>
      </c>
      <c r="BP548" s="41"/>
      <c r="BQ548" s="48">
        <v>186</v>
      </c>
      <c r="BR548" s="46"/>
      <c r="BS548" s="48">
        <v>49</v>
      </c>
      <c r="BT548" s="41"/>
      <c r="BU548" s="48">
        <v>204</v>
      </c>
      <c r="BV548" s="41"/>
      <c r="BW548" s="48">
        <v>20</v>
      </c>
      <c r="CA548" s="46"/>
      <c r="CB548" s="46">
        <v>15.5</v>
      </c>
      <c r="CC548" s="46">
        <v>40.799999999999997</v>
      </c>
      <c r="CD548" s="46"/>
      <c r="CE548" s="46">
        <v>25.1</v>
      </c>
      <c r="CF548" s="46">
        <v>6.55</v>
      </c>
      <c r="CG548" s="46">
        <v>2.19</v>
      </c>
      <c r="CH548" s="46"/>
      <c r="CI548" s="46">
        <v>1.35</v>
      </c>
      <c r="CJ548" s="46"/>
      <c r="CK548" s="46"/>
      <c r="CL548" s="46"/>
      <c r="CM548" s="46"/>
      <c r="CN548" s="46">
        <v>3.84</v>
      </c>
      <c r="CO548" s="46">
        <v>0.49</v>
      </c>
      <c r="CP548" s="46">
        <v>5.3</v>
      </c>
      <c r="CQ548" s="46">
        <v>1.51</v>
      </c>
      <c r="CR548" s="46"/>
      <c r="CS548" s="46">
        <v>1.77</v>
      </c>
      <c r="CT548" s="46">
        <v>0.53</v>
      </c>
    </row>
    <row r="549" spans="1:98">
      <c r="A549" s="1" t="s">
        <v>289</v>
      </c>
      <c r="B549" s="4" t="s">
        <v>290</v>
      </c>
      <c r="C549" s="1" t="s">
        <v>634</v>
      </c>
      <c r="D549" s="63">
        <v>67.22</v>
      </c>
      <c r="E549" s="63">
        <v>2.93</v>
      </c>
      <c r="F549" s="1" t="s">
        <v>308</v>
      </c>
      <c r="G549" s="46" t="s">
        <v>479</v>
      </c>
      <c r="J549" s="38" t="s">
        <v>311</v>
      </c>
      <c r="K549" s="1" t="s">
        <v>52</v>
      </c>
      <c r="L549" s="4" t="s">
        <v>426</v>
      </c>
      <c r="M549" s="78" t="s">
        <v>866</v>
      </c>
      <c r="N549" s="78"/>
      <c r="R549" s="4">
        <v>46.8</v>
      </c>
      <c r="S549" s="1">
        <v>3.73</v>
      </c>
      <c r="T549" s="1">
        <v>14.23</v>
      </c>
      <c r="U549" s="1">
        <v>19.18</v>
      </c>
      <c r="V549" s="1">
        <v>0.97</v>
      </c>
      <c r="W549" s="1">
        <v>7.0000000000000007E-2</v>
      </c>
      <c r="X549" s="1">
        <v>2.39</v>
      </c>
      <c r="Y549" s="1">
        <v>1.39</v>
      </c>
      <c r="Z549" s="1">
        <v>1.89</v>
      </c>
      <c r="AA549" s="1">
        <v>1.01</v>
      </c>
      <c r="AB549" s="1">
        <v>0.05</v>
      </c>
      <c r="AC549" s="9">
        <v>6.7</v>
      </c>
      <c r="AD549" s="23">
        <f t="shared" si="393"/>
        <v>98.41</v>
      </c>
      <c r="AE549" s="21">
        <f t="shared" si="394"/>
        <v>18.212820000000001</v>
      </c>
      <c r="AF549" s="23">
        <f t="shared" si="395"/>
        <v>0.18958841801351586</v>
      </c>
      <c r="AH549" s="16">
        <f t="shared" si="396"/>
        <v>51.030421982335625</v>
      </c>
      <c r="AI549" s="16">
        <f t="shared" si="397"/>
        <v>4.0671682477374338</v>
      </c>
      <c r="AJ549" s="16">
        <f t="shared" si="398"/>
        <v>15.516301384799913</v>
      </c>
      <c r="AK549" s="16">
        <f t="shared" si="399"/>
        <v>20.913749863700797</v>
      </c>
      <c r="AL549" s="16">
        <f t="shared" si="400"/>
        <v>1.0576818231381528</v>
      </c>
      <c r="AM549" s="16">
        <f t="shared" si="401"/>
        <v>7.6327554247083207E-2</v>
      </c>
      <c r="AN549" s="16">
        <f t="shared" si="402"/>
        <v>2.6060407807218406</v>
      </c>
      <c r="AO549" s="16">
        <f t="shared" si="403"/>
        <v>1.5156471486206522</v>
      </c>
      <c r="AP549" s="16">
        <f t="shared" si="404"/>
        <v>2.0608439646712466</v>
      </c>
      <c r="AQ549" s="16">
        <f t="shared" si="405"/>
        <v>1.1012975684222004</v>
      </c>
      <c r="AR549" s="16">
        <f t="shared" si="406"/>
        <v>5.4519681605059434E-2</v>
      </c>
      <c r="AS549" s="16">
        <f t="shared" si="407"/>
        <v>100.00000000000001</v>
      </c>
      <c r="AT549" s="16">
        <f t="shared" si="408"/>
        <v>19.859142950605172</v>
      </c>
      <c r="AY549" s="46">
        <v>32.9</v>
      </c>
      <c r="AZ549" s="41"/>
      <c r="BA549" s="48">
        <v>306</v>
      </c>
      <c r="BB549" s="41"/>
      <c r="BC549" s="48">
        <v>93</v>
      </c>
      <c r="BD549" s="41"/>
      <c r="BE549" s="48">
        <v>35.4</v>
      </c>
      <c r="BF549" s="41"/>
      <c r="BG549" s="48">
        <v>77</v>
      </c>
      <c r="BH549" s="41"/>
      <c r="BI549" s="48">
        <v>410</v>
      </c>
      <c r="BJ549" s="41"/>
      <c r="BK549" s="48">
        <v>86</v>
      </c>
      <c r="BL549" s="41"/>
      <c r="BM549" s="41"/>
      <c r="BN549" s="41"/>
      <c r="BO549" s="48">
        <v>43</v>
      </c>
      <c r="BP549" s="41"/>
      <c r="BQ549" s="48">
        <v>128</v>
      </c>
      <c r="BR549" s="46"/>
      <c r="BS549" s="48">
        <v>50</v>
      </c>
      <c r="BT549" s="41"/>
      <c r="BU549" s="48">
        <v>222</v>
      </c>
      <c r="BV549" s="41"/>
      <c r="BW549" s="48">
        <v>20</v>
      </c>
      <c r="CA549" s="46"/>
      <c r="CB549" s="46">
        <v>21.5</v>
      </c>
      <c r="CC549" s="46">
        <v>47.6</v>
      </c>
      <c r="CD549" s="46"/>
      <c r="CE549" s="46">
        <v>24.2</v>
      </c>
      <c r="CF549" s="46">
        <v>6.02</v>
      </c>
      <c r="CG549" s="46">
        <v>1.95</v>
      </c>
      <c r="CH549" s="46"/>
      <c r="CI549" s="46">
        <v>1.32</v>
      </c>
      <c r="CJ549" s="46"/>
      <c r="CK549" s="46"/>
      <c r="CL549" s="46"/>
      <c r="CM549" s="46"/>
      <c r="CN549" s="46">
        <v>5.8</v>
      </c>
      <c r="CO549" s="46">
        <v>0.81</v>
      </c>
      <c r="CP549" s="46">
        <v>5.7</v>
      </c>
      <c r="CQ549" s="46">
        <v>1.58</v>
      </c>
      <c r="CR549" s="46"/>
      <c r="CS549" s="46">
        <v>1.91</v>
      </c>
      <c r="CT549" s="46">
        <v>1</v>
      </c>
    </row>
    <row r="550" spans="1:98">
      <c r="A550" s="1" t="s">
        <v>289</v>
      </c>
      <c r="B550" s="4" t="s">
        <v>290</v>
      </c>
      <c r="C550" s="1" t="s">
        <v>635</v>
      </c>
      <c r="D550" s="63">
        <v>67.22</v>
      </c>
      <c r="E550" s="63">
        <v>2.93</v>
      </c>
      <c r="F550" s="1" t="s">
        <v>308</v>
      </c>
      <c r="G550" s="46" t="s">
        <v>477</v>
      </c>
      <c r="J550" s="38" t="s">
        <v>311</v>
      </c>
      <c r="K550" s="1" t="s">
        <v>52</v>
      </c>
      <c r="L550" s="4" t="s">
        <v>426</v>
      </c>
      <c r="M550" s="78" t="s">
        <v>866</v>
      </c>
      <c r="N550" s="78"/>
      <c r="R550" s="4">
        <v>47.6</v>
      </c>
      <c r="S550" s="1">
        <v>3.51</v>
      </c>
      <c r="T550" s="1">
        <v>12.45</v>
      </c>
      <c r="U550" s="1">
        <v>18.600000000000001</v>
      </c>
      <c r="V550" s="1">
        <v>1.36</v>
      </c>
      <c r="W550" s="1">
        <v>0.1</v>
      </c>
      <c r="X550" s="1">
        <v>5.53</v>
      </c>
      <c r="Y550" s="1">
        <v>3.85</v>
      </c>
      <c r="Z550" s="1">
        <v>2.04</v>
      </c>
      <c r="AA550" s="1">
        <v>0.96</v>
      </c>
      <c r="AB550" s="1">
        <v>0.34</v>
      </c>
      <c r="AC550" s="9">
        <v>4.62</v>
      </c>
      <c r="AD550" s="23">
        <f t="shared" si="393"/>
        <v>100.96</v>
      </c>
      <c r="AE550" s="21">
        <f t="shared" si="394"/>
        <v>18.081400000000002</v>
      </c>
      <c r="AF550" s="23">
        <f t="shared" si="395"/>
        <v>0.35284651364422176</v>
      </c>
      <c r="AH550" s="16">
        <f t="shared" si="396"/>
        <v>49.408345443221926</v>
      </c>
      <c r="AI550" s="16">
        <f t="shared" si="397"/>
        <v>3.6433464812123733</v>
      </c>
      <c r="AJ550" s="16">
        <f t="shared" si="398"/>
        <v>12.922981108573802</v>
      </c>
      <c r="AK550" s="16">
        <f t="shared" si="399"/>
        <v>19.306622379074117</v>
      </c>
      <c r="AL550" s="16">
        <f t="shared" si="400"/>
        <v>1.4116670126634836</v>
      </c>
      <c r="AM550" s="16">
        <f t="shared" si="401"/>
        <v>0.10379904504878557</v>
      </c>
      <c r="AN550" s="16">
        <f t="shared" si="402"/>
        <v>5.7400871911978415</v>
      </c>
      <c r="AO550" s="16">
        <f t="shared" si="403"/>
        <v>3.9962632343782443</v>
      </c>
      <c r="AP550" s="16">
        <f t="shared" si="404"/>
        <v>2.1175005189952256</v>
      </c>
      <c r="AQ550" s="16">
        <f t="shared" si="405"/>
        <v>0.99647083246834145</v>
      </c>
      <c r="AR550" s="16">
        <f t="shared" si="406"/>
        <v>0.3529167531658709</v>
      </c>
      <c r="AS550" s="16">
        <f t="shared" si="407"/>
        <v>100.00000000000003</v>
      </c>
      <c r="AT550" s="16">
        <f t="shared" si="408"/>
        <v>18.768320531451113</v>
      </c>
      <c r="AY550" s="46">
        <v>30</v>
      </c>
      <c r="AZ550" s="41"/>
      <c r="BA550" s="48"/>
      <c r="BB550" s="41"/>
      <c r="BC550" s="48">
        <v>58</v>
      </c>
      <c r="BD550" s="41"/>
      <c r="BE550" s="48">
        <v>35.1</v>
      </c>
      <c r="BF550" s="41"/>
      <c r="BG550" s="48"/>
      <c r="BH550" s="41"/>
      <c r="BI550" s="48"/>
      <c r="BJ550" s="41"/>
      <c r="BK550" s="48"/>
      <c r="BL550" s="41"/>
      <c r="BM550" s="41"/>
      <c r="BN550" s="41"/>
      <c r="BO550" s="48"/>
      <c r="BP550" s="41"/>
      <c r="BQ550" s="48"/>
      <c r="BR550" s="46"/>
      <c r="BS550" s="48"/>
      <c r="BT550" s="41"/>
      <c r="BU550" s="48"/>
      <c r="BV550" s="41"/>
      <c r="BW550" s="48"/>
      <c r="CA550" s="46"/>
      <c r="CB550" s="46">
        <v>27.9</v>
      </c>
      <c r="CC550" s="46">
        <v>67.8</v>
      </c>
      <c r="CD550" s="46"/>
      <c r="CE550" s="46">
        <v>49</v>
      </c>
      <c r="CF550" s="46">
        <v>12</v>
      </c>
      <c r="CG550" s="46">
        <v>3.49</v>
      </c>
      <c r="CH550" s="46"/>
      <c r="CI550" s="46">
        <v>2.1800000000000002</v>
      </c>
      <c r="CJ550" s="46"/>
      <c r="CK550" s="46"/>
      <c r="CL550" s="46"/>
      <c r="CM550" s="46"/>
      <c r="CN550" s="46">
        <v>7.4</v>
      </c>
      <c r="CO550" s="46">
        <v>1.01</v>
      </c>
      <c r="CP550" s="46">
        <v>6.8</v>
      </c>
      <c r="CQ550" s="46">
        <v>2.16</v>
      </c>
      <c r="CR550" s="46"/>
      <c r="CS550" s="46">
        <v>2.65</v>
      </c>
      <c r="CT550" s="46">
        <v>1.1200000000000001</v>
      </c>
    </row>
    <row r="551" spans="1:98">
      <c r="A551" s="1" t="s">
        <v>289</v>
      </c>
      <c r="B551" s="4" t="s">
        <v>290</v>
      </c>
      <c r="C551" s="1" t="s">
        <v>636</v>
      </c>
      <c r="D551" s="63">
        <v>67.22</v>
      </c>
      <c r="E551" s="63">
        <v>2.93</v>
      </c>
      <c r="F551" s="1" t="s">
        <v>308</v>
      </c>
      <c r="G551" s="46" t="s">
        <v>481</v>
      </c>
      <c r="J551" s="38" t="s">
        <v>311</v>
      </c>
      <c r="K551" s="1" t="s">
        <v>522</v>
      </c>
      <c r="L551" s="4" t="s">
        <v>426</v>
      </c>
      <c r="M551" s="78" t="s">
        <v>866</v>
      </c>
      <c r="N551" s="78"/>
      <c r="R551" s="4">
        <v>49.6</v>
      </c>
      <c r="S551" s="1">
        <v>3.32</v>
      </c>
      <c r="T551" s="1">
        <v>11.64</v>
      </c>
      <c r="U551" s="1">
        <v>14.72</v>
      </c>
      <c r="V551" s="1">
        <v>3.8</v>
      </c>
      <c r="W551" s="1">
        <v>0.08</v>
      </c>
      <c r="X551" s="1">
        <v>3.41</v>
      </c>
      <c r="Y551" s="1">
        <v>1.74</v>
      </c>
      <c r="Z551" s="1">
        <v>1.54</v>
      </c>
      <c r="AA551" s="1">
        <v>2.34</v>
      </c>
      <c r="AB551" s="1">
        <v>0.21</v>
      </c>
      <c r="AD551" s="23">
        <f t="shared" si="393"/>
        <v>92.399999999999991</v>
      </c>
      <c r="AE551" s="21">
        <f t="shared" si="394"/>
        <v>17.033280000000001</v>
      </c>
      <c r="AF551" s="23">
        <f t="shared" si="395"/>
        <v>0.26302378504713952</v>
      </c>
      <c r="AH551" s="16">
        <f t="shared" si="396"/>
        <v>53.679653679653683</v>
      </c>
      <c r="AI551" s="16">
        <f t="shared" si="397"/>
        <v>3.5930735930735933</v>
      </c>
      <c r="AJ551" s="16">
        <f t="shared" si="398"/>
        <v>12.597402597402599</v>
      </c>
      <c r="AK551" s="16">
        <f t="shared" si="399"/>
        <v>15.930735930735933</v>
      </c>
      <c r="AL551" s="16">
        <f t="shared" si="400"/>
        <v>4.112554112554113</v>
      </c>
      <c r="AM551" s="16">
        <f t="shared" si="401"/>
        <v>8.658008658008659E-2</v>
      </c>
      <c r="AN551" s="16">
        <f t="shared" si="402"/>
        <v>3.6904761904761907</v>
      </c>
      <c r="AO551" s="16">
        <f t="shared" si="403"/>
        <v>1.8831168831168832</v>
      </c>
      <c r="AP551" s="16">
        <f t="shared" si="404"/>
        <v>1.6666666666666667</v>
      </c>
      <c r="AQ551" s="16">
        <f t="shared" si="405"/>
        <v>2.5324675324675328</v>
      </c>
      <c r="AR551" s="16">
        <f t="shared" si="406"/>
        <v>0.22727272727272729</v>
      </c>
      <c r="AS551" s="16">
        <f t="shared" si="407"/>
        <v>100.00000000000001</v>
      </c>
      <c r="AT551" s="16">
        <f t="shared" si="408"/>
        <v>18.434285714285718</v>
      </c>
      <c r="AY551" s="46">
        <v>30.8</v>
      </c>
      <c r="AZ551" s="41"/>
      <c r="BA551" s="48">
        <v>212</v>
      </c>
      <c r="BB551" s="41"/>
      <c r="BC551" s="48">
        <v>39</v>
      </c>
      <c r="BD551" s="41"/>
      <c r="BE551" s="48">
        <v>27.7</v>
      </c>
      <c r="BF551" s="41"/>
      <c r="BG551" s="48">
        <v>60</v>
      </c>
      <c r="BH551" s="41"/>
      <c r="BI551" s="48">
        <v>301</v>
      </c>
      <c r="BJ551" s="41"/>
      <c r="BK551" s="48">
        <v>84</v>
      </c>
      <c r="BL551" s="41"/>
      <c r="BM551" s="41"/>
      <c r="BN551" s="41"/>
      <c r="BO551" s="48">
        <v>71</v>
      </c>
      <c r="BP551" s="41"/>
      <c r="BQ551" s="48">
        <v>122</v>
      </c>
      <c r="BR551" s="46"/>
      <c r="BS551" s="48">
        <v>62</v>
      </c>
      <c r="BT551" s="41"/>
      <c r="BU551" s="48">
        <v>307</v>
      </c>
      <c r="BV551" s="41"/>
      <c r="BW551" s="48">
        <v>31</v>
      </c>
      <c r="CA551" s="46"/>
      <c r="CB551" s="46">
        <v>30.2</v>
      </c>
      <c r="CC551" s="46">
        <v>76</v>
      </c>
      <c r="CD551" s="46"/>
      <c r="CE551" s="46">
        <v>51</v>
      </c>
      <c r="CF551" s="46">
        <v>12.4</v>
      </c>
      <c r="CG551" s="46">
        <v>3.76</v>
      </c>
      <c r="CH551" s="46"/>
      <c r="CI551" s="46">
        <v>2.15</v>
      </c>
      <c r="CJ551" s="46"/>
      <c r="CK551" s="46"/>
      <c r="CL551" s="46"/>
      <c r="CM551" s="46"/>
      <c r="CN551" s="46">
        <v>5.5</v>
      </c>
      <c r="CO551" s="46">
        <v>0.71</v>
      </c>
      <c r="CP551" s="46">
        <v>8.1</v>
      </c>
      <c r="CQ551" s="46">
        <v>2.4500000000000002</v>
      </c>
      <c r="CR551" s="46"/>
      <c r="CS551" s="46">
        <v>2.85</v>
      </c>
      <c r="CT551" s="46">
        <v>0.94</v>
      </c>
    </row>
    <row r="552" spans="1:98">
      <c r="A552" s="1" t="s">
        <v>289</v>
      </c>
      <c r="B552" s="4" t="s">
        <v>290</v>
      </c>
      <c r="C552" s="1" t="s">
        <v>637</v>
      </c>
      <c r="D552" s="63">
        <v>67.22</v>
      </c>
      <c r="E552" s="63">
        <v>2.93</v>
      </c>
      <c r="F552" s="1" t="s">
        <v>308</v>
      </c>
      <c r="G552" s="46" t="s">
        <v>485</v>
      </c>
      <c r="J552" s="38" t="s">
        <v>311</v>
      </c>
      <c r="K552" s="1" t="s">
        <v>317</v>
      </c>
      <c r="L552" s="4" t="s">
        <v>426</v>
      </c>
      <c r="M552" s="78" t="s">
        <v>866</v>
      </c>
      <c r="N552" s="78"/>
      <c r="R552" s="4">
        <v>53.1</v>
      </c>
      <c r="S552" s="1">
        <v>2.31</v>
      </c>
      <c r="T552" s="1">
        <v>13.4</v>
      </c>
      <c r="U552" s="1">
        <v>13.95</v>
      </c>
      <c r="V552" s="1">
        <v>0.99</v>
      </c>
      <c r="W552" s="1">
        <v>0.12</v>
      </c>
      <c r="X552" s="1">
        <v>3.69</v>
      </c>
      <c r="Y552" s="1">
        <v>1.44</v>
      </c>
      <c r="Z552" s="1">
        <v>2.0299999999999998</v>
      </c>
      <c r="AA552" s="1">
        <v>1.54</v>
      </c>
      <c r="AB552" s="1">
        <v>7.0000000000000007E-2</v>
      </c>
      <c r="AC552" s="9">
        <v>7.65</v>
      </c>
      <c r="AD552" s="23">
        <f t="shared" si="393"/>
        <v>100.29</v>
      </c>
      <c r="AE552" s="21">
        <f t="shared" si="394"/>
        <v>13.53105</v>
      </c>
      <c r="AF552" s="23">
        <f t="shared" si="395"/>
        <v>0.32712549797976181</v>
      </c>
      <c r="AH552" s="16">
        <f t="shared" si="396"/>
        <v>57.318652849740936</v>
      </c>
      <c r="AI552" s="16">
        <f t="shared" si="397"/>
        <v>2.4935233160621761</v>
      </c>
      <c r="AJ552" s="16">
        <f t="shared" si="398"/>
        <v>14.464594127806564</v>
      </c>
      <c r="AK552" s="16">
        <f t="shared" si="399"/>
        <v>15.058290155440414</v>
      </c>
      <c r="AL552" s="16">
        <f t="shared" si="400"/>
        <v>1.0686528497409327</v>
      </c>
      <c r="AM552" s="16">
        <f t="shared" si="401"/>
        <v>0.12953367875647667</v>
      </c>
      <c r="AN552" s="16">
        <f t="shared" si="402"/>
        <v>3.983160621761658</v>
      </c>
      <c r="AO552" s="16">
        <f t="shared" si="403"/>
        <v>1.5544041450777202</v>
      </c>
      <c r="AP552" s="16">
        <f t="shared" si="404"/>
        <v>2.1912780656303967</v>
      </c>
      <c r="AQ552" s="16">
        <f t="shared" si="405"/>
        <v>1.6623488773747841</v>
      </c>
      <c r="AR552" s="16">
        <f t="shared" si="406"/>
        <v>7.5561312607944742E-2</v>
      </c>
      <c r="AS552" s="16">
        <f t="shared" si="407"/>
        <v>100</v>
      </c>
      <c r="AT552" s="16">
        <f t="shared" si="408"/>
        <v>14.606055699481864</v>
      </c>
      <c r="AY552" s="46"/>
      <c r="AZ552" s="41"/>
      <c r="BA552" s="48">
        <v>185</v>
      </c>
      <c r="BB552" s="41"/>
      <c r="BC552" s="48">
        <v>28</v>
      </c>
      <c r="BD552" s="41"/>
      <c r="BE552" s="48">
        <v>27</v>
      </c>
      <c r="BF552" s="41"/>
      <c r="BG552" s="48">
        <v>65</v>
      </c>
      <c r="BH552" s="41"/>
      <c r="BI552" s="48">
        <v>118</v>
      </c>
      <c r="BJ552" s="41"/>
      <c r="BK552" s="48">
        <v>130</v>
      </c>
      <c r="BL552" s="41"/>
      <c r="BM552" s="41"/>
      <c r="BN552" s="41"/>
      <c r="BO552" s="48">
        <v>68</v>
      </c>
      <c r="BP552" s="41"/>
      <c r="BQ552" s="48">
        <v>100</v>
      </c>
      <c r="BR552" s="46"/>
      <c r="BS552" s="48">
        <v>32</v>
      </c>
      <c r="BT552" s="41"/>
      <c r="BU552" s="48">
        <v>236</v>
      </c>
      <c r="BV552" s="41"/>
      <c r="BW552" s="48">
        <v>38</v>
      </c>
      <c r="CA552" s="46"/>
      <c r="CB552" s="46"/>
      <c r="CC552" s="46"/>
      <c r="CD552" s="46"/>
      <c r="CE552" s="46"/>
      <c r="CF552" s="46"/>
      <c r="CG552" s="46"/>
      <c r="CH552" s="46"/>
      <c r="CI552" s="46"/>
      <c r="CJ552" s="46"/>
      <c r="CK552" s="46"/>
      <c r="CL552" s="46"/>
      <c r="CM552" s="46"/>
      <c r="CN552" s="46"/>
      <c r="CO552" s="46"/>
      <c r="CP552" s="46"/>
      <c r="CQ552" s="46"/>
      <c r="CR552" s="46"/>
      <c r="CS552" s="46"/>
      <c r="CT552" s="46"/>
    </row>
    <row r="553" spans="1:98">
      <c r="A553" s="1" t="s">
        <v>289</v>
      </c>
      <c r="B553" s="4" t="s">
        <v>290</v>
      </c>
      <c r="C553" s="1" t="s">
        <v>638</v>
      </c>
      <c r="D553" s="63">
        <v>67.22</v>
      </c>
      <c r="E553" s="63">
        <v>2.93</v>
      </c>
      <c r="F553" s="1" t="s">
        <v>308</v>
      </c>
      <c r="G553" s="46" t="s">
        <v>476</v>
      </c>
      <c r="J553" s="38" t="s">
        <v>311</v>
      </c>
      <c r="K553" s="1" t="s">
        <v>522</v>
      </c>
      <c r="L553" s="4" t="s">
        <v>426</v>
      </c>
      <c r="M553" s="78" t="s">
        <v>866</v>
      </c>
      <c r="N553" s="78"/>
      <c r="R553" s="4">
        <v>46.6</v>
      </c>
      <c r="S553" s="1">
        <v>2.82</v>
      </c>
      <c r="T553" s="1">
        <v>14.92</v>
      </c>
      <c r="U553" s="1">
        <v>18.23</v>
      </c>
      <c r="V553" s="1">
        <v>0.73</v>
      </c>
      <c r="W553" s="1">
        <v>0.18</v>
      </c>
      <c r="X553" s="1">
        <v>4.01</v>
      </c>
      <c r="Y553" s="1">
        <v>4.16</v>
      </c>
      <c r="Z553" s="1">
        <v>1.53</v>
      </c>
      <c r="AA553" s="1">
        <v>1.58</v>
      </c>
      <c r="AB553" s="1">
        <v>0.36</v>
      </c>
      <c r="AC553" s="9">
        <v>5.14</v>
      </c>
      <c r="AD553" s="23">
        <f t="shared" si="393"/>
        <v>100.26000000000002</v>
      </c>
      <c r="AE553" s="21">
        <f t="shared" si="394"/>
        <v>17.118770000000001</v>
      </c>
      <c r="AF553" s="23">
        <f t="shared" si="395"/>
        <v>0.29458085382121957</v>
      </c>
      <c r="AH553" s="16">
        <f t="shared" si="396"/>
        <v>48.990748528174926</v>
      </c>
      <c r="AI553" s="16">
        <f t="shared" si="397"/>
        <v>2.9646761984861221</v>
      </c>
      <c r="AJ553" s="16">
        <f t="shared" si="398"/>
        <v>15.685449957947853</v>
      </c>
      <c r="AK553" s="16">
        <f t="shared" si="399"/>
        <v>19.165264928511352</v>
      </c>
      <c r="AL553" s="16">
        <f t="shared" si="400"/>
        <v>0.76745164003364152</v>
      </c>
      <c r="AM553" s="16">
        <f t="shared" si="401"/>
        <v>0.1892346509671993</v>
      </c>
      <c r="AN553" s="16">
        <f t="shared" si="402"/>
        <v>4.2157275021026068</v>
      </c>
      <c r="AO553" s="16">
        <f t="shared" si="403"/>
        <v>4.3734230445752722</v>
      </c>
      <c r="AP553" s="16">
        <f t="shared" si="404"/>
        <v>1.608494533221194</v>
      </c>
      <c r="AQ553" s="16">
        <f t="shared" si="405"/>
        <v>1.661059714045416</v>
      </c>
      <c r="AR553" s="16">
        <f t="shared" si="406"/>
        <v>0.37846930193439859</v>
      </c>
      <c r="AS553" s="16">
        <f t="shared" si="407"/>
        <v>99.999999999999986</v>
      </c>
      <c r="AT553" s="16">
        <f t="shared" si="408"/>
        <v>17.997024810765346</v>
      </c>
      <c r="AY553" s="46">
        <v>38.299999999999997</v>
      </c>
      <c r="AZ553" s="41"/>
      <c r="BA553" s="48">
        <v>204</v>
      </c>
      <c r="BB553" s="41"/>
      <c r="BC553" s="48">
        <v>199</v>
      </c>
      <c r="BD553" s="41"/>
      <c r="BE553" s="48">
        <v>43.7</v>
      </c>
      <c r="BF553" s="41"/>
      <c r="BG553" s="48">
        <v>87</v>
      </c>
      <c r="BH553" s="41"/>
      <c r="BI553" s="48">
        <v>101</v>
      </c>
      <c r="BJ553" s="41"/>
      <c r="BK553" s="48">
        <v>66</v>
      </c>
      <c r="BL553" s="41"/>
      <c r="BM553" s="41"/>
      <c r="BN553" s="41"/>
      <c r="BO553" s="48">
        <v>19</v>
      </c>
      <c r="BP553" s="41"/>
      <c r="BQ553" s="48">
        <v>198</v>
      </c>
      <c r="BR553" s="46"/>
      <c r="BS553" s="48">
        <v>48</v>
      </c>
      <c r="BT553" s="41"/>
      <c r="BU553" s="48">
        <v>175</v>
      </c>
      <c r="BV553" s="41"/>
      <c r="BW553" s="48">
        <v>15</v>
      </c>
      <c r="CA553" s="46"/>
      <c r="CB553" s="46">
        <v>16.2</v>
      </c>
      <c r="CC553" s="46">
        <v>37.5</v>
      </c>
      <c r="CD553" s="46"/>
      <c r="CE553" s="46">
        <v>24</v>
      </c>
      <c r="CF553" s="46">
        <v>6.49</v>
      </c>
      <c r="CG553" s="46">
        <v>2.16</v>
      </c>
      <c r="CH553" s="46"/>
      <c r="CI553" s="46">
        <v>1.38</v>
      </c>
      <c r="CJ553" s="46"/>
      <c r="CK553" s="46"/>
      <c r="CL553" s="46"/>
      <c r="CM553" s="46"/>
      <c r="CN553" s="46">
        <v>5.2</v>
      </c>
      <c r="CO553" s="46">
        <v>0.71</v>
      </c>
      <c r="CP553" s="46">
        <v>4.8</v>
      </c>
      <c r="CQ553" s="46">
        <v>1.08</v>
      </c>
      <c r="CR553" s="46"/>
      <c r="CS553" s="46">
        <v>1.32</v>
      </c>
      <c r="CT553" s="46">
        <v>0.28999999999999998</v>
      </c>
    </row>
    <row r="554" spans="1:98">
      <c r="A554" s="1" t="s">
        <v>289</v>
      </c>
      <c r="B554" s="4" t="s">
        <v>290</v>
      </c>
      <c r="C554" s="1" t="s">
        <v>639</v>
      </c>
      <c r="D554" s="63">
        <v>67.22</v>
      </c>
      <c r="E554" s="63">
        <v>2.93</v>
      </c>
      <c r="F554" s="1" t="s">
        <v>308</v>
      </c>
      <c r="G554" s="46" t="s">
        <v>307</v>
      </c>
      <c r="J554" s="38" t="s">
        <v>311</v>
      </c>
      <c r="K554" s="1" t="s">
        <v>52</v>
      </c>
      <c r="L554" s="4" t="s">
        <v>426</v>
      </c>
      <c r="M554" s="78" t="s">
        <v>866</v>
      </c>
      <c r="N554" s="78"/>
      <c r="R554" s="4">
        <v>48.5</v>
      </c>
      <c r="S554" s="1">
        <v>1.8</v>
      </c>
      <c r="T554" s="1">
        <v>14.55</v>
      </c>
      <c r="U554" s="1">
        <v>12.52</v>
      </c>
      <c r="V554" s="1">
        <v>2.71</v>
      </c>
      <c r="W554" s="1">
        <v>0.12</v>
      </c>
      <c r="X554" s="1">
        <v>7.78</v>
      </c>
      <c r="Y554" s="1">
        <v>5.3</v>
      </c>
      <c r="Z554" s="1">
        <v>2.64</v>
      </c>
      <c r="AA554" s="1">
        <v>0.79</v>
      </c>
      <c r="AB554" s="1">
        <v>0.23</v>
      </c>
      <c r="AC554" s="9">
        <v>2.19</v>
      </c>
      <c r="AD554" s="23">
        <f t="shared" si="393"/>
        <v>99.13</v>
      </c>
      <c r="AE554" s="21">
        <f t="shared" si="394"/>
        <v>13.965479999999999</v>
      </c>
      <c r="AF554" s="23">
        <f t="shared" si="395"/>
        <v>0.49827835693386663</v>
      </c>
      <c r="AH554" s="16">
        <f t="shared" si="396"/>
        <v>50.030946977511867</v>
      </c>
      <c r="AI554" s="16">
        <f t="shared" si="397"/>
        <v>1.8568186507117805</v>
      </c>
      <c r="AJ554" s="16">
        <f t="shared" si="398"/>
        <v>15.009284093253559</v>
      </c>
      <c r="AK554" s="16">
        <f t="shared" si="399"/>
        <v>12.915205281617496</v>
      </c>
      <c r="AL554" s="16">
        <f t="shared" si="400"/>
        <v>2.7955436352382916</v>
      </c>
      <c r="AM554" s="16">
        <f t="shared" si="401"/>
        <v>0.12378791004745203</v>
      </c>
      <c r="AN554" s="16">
        <f t="shared" si="402"/>
        <v>8.0255828347431404</v>
      </c>
      <c r="AO554" s="16">
        <f t="shared" si="403"/>
        <v>5.4672993604291316</v>
      </c>
      <c r="AP554" s="16">
        <f t="shared" si="404"/>
        <v>2.7233340210439447</v>
      </c>
      <c r="AQ554" s="16">
        <f t="shared" si="405"/>
        <v>0.81493707447905928</v>
      </c>
      <c r="AR554" s="16">
        <f t="shared" si="406"/>
        <v>0.23726016092428306</v>
      </c>
      <c r="AS554" s="16">
        <f t="shared" si="407"/>
        <v>99.999999999999986</v>
      </c>
      <c r="AT554" s="16">
        <f t="shared" si="408"/>
        <v>14.406313183412422</v>
      </c>
      <c r="AY554" s="46">
        <v>44.6</v>
      </c>
      <c r="AZ554" s="41"/>
      <c r="BA554" s="48">
        <v>299</v>
      </c>
      <c r="BB554" s="41"/>
      <c r="BC554" s="48">
        <v>165</v>
      </c>
      <c r="BD554" s="41"/>
      <c r="BE554" s="48">
        <v>50.4</v>
      </c>
      <c r="BF554" s="41"/>
      <c r="BG554" s="48">
        <v>88</v>
      </c>
      <c r="BH554" s="41"/>
      <c r="BI554" s="48">
        <v>980</v>
      </c>
      <c r="BJ554" s="41"/>
      <c r="BK554" s="48">
        <v>90</v>
      </c>
      <c r="BL554" s="41"/>
      <c r="BM554" s="41"/>
      <c r="BN554" s="41"/>
      <c r="BO554" s="48">
        <v>12</v>
      </c>
      <c r="BP554" s="41"/>
      <c r="BQ554" s="48">
        <v>182</v>
      </c>
      <c r="BR554" s="46"/>
      <c r="BS554" s="48">
        <v>47</v>
      </c>
      <c r="BT554" s="41"/>
      <c r="BU554" s="48">
        <v>112</v>
      </c>
      <c r="BV554" s="41"/>
      <c r="BW554" s="48">
        <v>7</v>
      </c>
      <c r="CA554" s="46"/>
      <c r="CB554" s="46">
        <v>13.2</v>
      </c>
      <c r="CC554" s="46">
        <v>30.7</v>
      </c>
      <c r="CD554" s="46"/>
      <c r="CE554" s="46">
        <v>21.3</v>
      </c>
      <c r="CF554" s="46">
        <v>5.89</v>
      </c>
      <c r="CG554" s="46">
        <v>2.04</v>
      </c>
      <c r="CH554" s="46"/>
      <c r="CI554" s="46">
        <v>1.31</v>
      </c>
      <c r="CJ554" s="46"/>
      <c r="CK554" s="46"/>
      <c r="CL554" s="46"/>
      <c r="CM554" s="46"/>
      <c r="CN554" s="46">
        <v>3.69</v>
      </c>
      <c r="CO554" s="46">
        <v>0.51</v>
      </c>
      <c r="CP554" s="46">
        <v>3.02</v>
      </c>
      <c r="CQ554" s="46">
        <v>0.42</v>
      </c>
      <c r="CR554" s="46"/>
      <c r="CS554" s="46">
        <v>0.73</v>
      </c>
      <c r="CT554" s="46">
        <v>0.18</v>
      </c>
    </row>
    <row r="555" spans="1:98">
      <c r="A555" s="1" t="s">
        <v>289</v>
      </c>
      <c r="B555" s="4" t="s">
        <v>290</v>
      </c>
      <c r="C555" s="1" t="s">
        <v>640</v>
      </c>
      <c r="D555" s="63">
        <v>67.22</v>
      </c>
      <c r="E555" s="63">
        <v>2.93</v>
      </c>
      <c r="F555" s="1" t="s">
        <v>308</v>
      </c>
      <c r="G555" s="46" t="s">
        <v>480</v>
      </c>
      <c r="J555" s="38" t="s">
        <v>311</v>
      </c>
      <c r="K555" s="1" t="s">
        <v>52</v>
      </c>
      <c r="L555" s="4" t="s">
        <v>426</v>
      </c>
      <c r="M555" s="78" t="s">
        <v>866</v>
      </c>
      <c r="N555" s="78"/>
      <c r="R555" s="4">
        <v>49.3</v>
      </c>
      <c r="S555" s="1">
        <v>1.73</v>
      </c>
      <c r="T555" s="1">
        <v>12.64</v>
      </c>
      <c r="U555" s="1">
        <v>14.32</v>
      </c>
      <c r="V555" s="1">
        <v>1.35</v>
      </c>
      <c r="W555" s="1">
        <v>0.13</v>
      </c>
      <c r="X555" s="1">
        <v>6.06</v>
      </c>
      <c r="Y555" s="1">
        <v>4.9400000000000004</v>
      </c>
      <c r="Z555" s="1">
        <v>2.4500000000000002</v>
      </c>
      <c r="AA555" s="1">
        <v>0.55000000000000004</v>
      </c>
      <c r="AB555" s="1">
        <v>7.0000000000000007E-2</v>
      </c>
      <c r="AC555" s="9">
        <v>6.06</v>
      </c>
      <c r="AD555" s="23">
        <f t="shared" si="393"/>
        <v>99.59999999999998</v>
      </c>
      <c r="AE555" s="21">
        <f t="shared" si="394"/>
        <v>14.22368</v>
      </c>
      <c r="AF555" s="23">
        <f t="shared" si="395"/>
        <v>0.43166707566050816</v>
      </c>
      <c r="AH555" s="16">
        <f t="shared" si="396"/>
        <v>52.704725251229434</v>
      </c>
      <c r="AI555" s="16">
        <f t="shared" si="397"/>
        <v>1.8494761599315805</v>
      </c>
      <c r="AJ555" s="16">
        <f t="shared" si="398"/>
        <v>13.512935642505884</v>
      </c>
      <c r="AK555" s="16">
        <f t="shared" si="399"/>
        <v>15.308958734231348</v>
      </c>
      <c r="AL555" s="16">
        <f t="shared" si="400"/>
        <v>1.4432328415651061</v>
      </c>
      <c r="AM555" s="16">
        <f t="shared" si="401"/>
        <v>0.13897797733589912</v>
      </c>
      <c r="AN555" s="16">
        <f t="shared" si="402"/>
        <v>6.478511866581143</v>
      </c>
      <c r="AO555" s="16">
        <f t="shared" si="403"/>
        <v>5.2811631387641667</v>
      </c>
      <c r="AP555" s="16">
        <f t="shared" si="404"/>
        <v>2.6192003420996373</v>
      </c>
      <c r="AQ555" s="16">
        <f t="shared" si="405"/>
        <v>0.58798375026726557</v>
      </c>
      <c r="AR555" s="16">
        <f t="shared" si="406"/>
        <v>7.4834295488561076E-2</v>
      </c>
      <c r="AS555" s="16">
        <f t="shared" si="407"/>
        <v>100.00000000000003</v>
      </c>
      <c r="AT555" s="16">
        <f t="shared" si="408"/>
        <v>15.205986743639087</v>
      </c>
      <c r="AY555" s="46"/>
      <c r="AZ555" s="41"/>
      <c r="BA555" s="48">
        <v>298</v>
      </c>
      <c r="BB555" s="41"/>
      <c r="BC555" s="48">
        <v>135</v>
      </c>
      <c r="BD555" s="41"/>
      <c r="BE555" s="48">
        <v>39</v>
      </c>
      <c r="BF555" s="41"/>
      <c r="BG555" s="48">
        <v>93</v>
      </c>
      <c r="BH555" s="41"/>
      <c r="BI555" s="48">
        <v>119</v>
      </c>
      <c r="BJ555" s="41"/>
      <c r="BK555" s="48">
        <v>77</v>
      </c>
      <c r="BL555" s="41"/>
      <c r="BM555" s="41"/>
      <c r="BN555" s="41"/>
      <c r="BO555" s="48">
        <v>17</v>
      </c>
      <c r="BP555" s="41"/>
      <c r="BQ555" s="48">
        <v>94</v>
      </c>
      <c r="BR555" s="46"/>
      <c r="BS555" s="48">
        <v>38</v>
      </c>
      <c r="BT555" s="41"/>
      <c r="BU555" s="48">
        <v>137</v>
      </c>
      <c r="BV555" s="41"/>
      <c r="BW555" s="48">
        <v>14</v>
      </c>
      <c r="CA555" s="46"/>
      <c r="CB555" s="46"/>
      <c r="CC555" s="46"/>
      <c r="CD555" s="46"/>
      <c r="CE555" s="46"/>
      <c r="CF555" s="46"/>
      <c r="CG555" s="46"/>
      <c r="CH555" s="46"/>
      <c r="CI555" s="46"/>
      <c r="CJ555" s="46"/>
      <c r="CK555" s="46"/>
      <c r="CL555" s="46"/>
      <c r="CM555" s="46"/>
      <c r="CN555" s="46"/>
      <c r="CO555" s="46"/>
      <c r="CP555" s="46"/>
      <c r="CQ555" s="46"/>
      <c r="CR555" s="46"/>
      <c r="CS555" s="46"/>
      <c r="CT555" s="46"/>
    </row>
    <row r="556" spans="1:98">
      <c r="A556" s="1" t="s">
        <v>289</v>
      </c>
      <c r="B556" s="4" t="s">
        <v>290</v>
      </c>
      <c r="C556" s="1" t="s">
        <v>641</v>
      </c>
      <c r="D556" s="63">
        <v>67.22</v>
      </c>
      <c r="E556" s="63">
        <v>2.93</v>
      </c>
      <c r="F556" s="1" t="s">
        <v>308</v>
      </c>
      <c r="G556" s="46" t="s">
        <v>132</v>
      </c>
      <c r="J556" s="38" t="s">
        <v>311</v>
      </c>
      <c r="K556" s="1" t="s">
        <v>52</v>
      </c>
      <c r="L556" s="4" t="s">
        <v>426</v>
      </c>
      <c r="M556" s="78" t="s">
        <v>866</v>
      </c>
      <c r="N556" s="78"/>
      <c r="R556" s="4">
        <v>42.5</v>
      </c>
      <c r="S556" s="1">
        <v>1.31</v>
      </c>
      <c r="T556" s="1">
        <v>25.45</v>
      </c>
      <c r="U556" s="1">
        <v>15.27</v>
      </c>
      <c r="V556" s="1">
        <v>1.03</v>
      </c>
      <c r="W556" s="1">
        <v>0.09</v>
      </c>
      <c r="X556" s="1">
        <v>0.41</v>
      </c>
      <c r="Y556" s="1">
        <v>0.78</v>
      </c>
      <c r="Z556" s="1">
        <v>0.92</v>
      </c>
      <c r="AA556" s="1">
        <v>0.79</v>
      </c>
      <c r="AB556" s="1">
        <v>0.12</v>
      </c>
      <c r="AC556" s="9">
        <v>11.9</v>
      </c>
      <c r="AD556" s="23">
        <f t="shared" si="393"/>
        <v>100.57000000000002</v>
      </c>
      <c r="AE556" s="21">
        <f t="shared" si="394"/>
        <v>14.757729999999999</v>
      </c>
      <c r="AF556" s="23">
        <f t="shared" si="395"/>
        <v>4.7190629838956472E-2</v>
      </c>
      <c r="AH556" s="16">
        <f t="shared" si="396"/>
        <v>47.93052892748392</v>
      </c>
      <c r="AI556" s="16">
        <f t="shared" si="397"/>
        <v>1.4773880681177396</v>
      </c>
      <c r="AJ556" s="16">
        <f t="shared" si="398"/>
        <v>28.701928498928606</v>
      </c>
      <c r="AK556" s="16">
        <f t="shared" si="399"/>
        <v>17.221157099357164</v>
      </c>
      <c r="AL556" s="16">
        <f t="shared" si="400"/>
        <v>1.1616104657719633</v>
      </c>
      <c r="AM556" s="16">
        <f t="shared" si="401"/>
        <v>0.10149994361114242</v>
      </c>
      <c r="AN556" s="16">
        <f t="shared" si="402"/>
        <v>0.46238863200631547</v>
      </c>
      <c r="AO556" s="16">
        <f t="shared" si="403"/>
        <v>0.87966617796323432</v>
      </c>
      <c r="AP556" s="16">
        <f t="shared" si="404"/>
        <v>1.0375549791361225</v>
      </c>
      <c r="AQ556" s="16">
        <f t="shared" si="405"/>
        <v>0.89094394947558342</v>
      </c>
      <c r="AR556" s="16">
        <f t="shared" si="406"/>
        <v>0.13533325814818989</v>
      </c>
      <c r="AS556" s="16">
        <f t="shared" si="407"/>
        <v>99.999999999999972</v>
      </c>
      <c r="AT556" s="16">
        <f t="shared" si="408"/>
        <v>16.643430698094054</v>
      </c>
      <c r="AY556" s="46"/>
      <c r="AZ556" s="41"/>
      <c r="BA556" s="48">
        <v>275</v>
      </c>
      <c r="BB556" s="41"/>
      <c r="BC556" s="48">
        <v>206</v>
      </c>
      <c r="BD556" s="41"/>
      <c r="BE556" s="48">
        <v>85</v>
      </c>
      <c r="BF556" s="41"/>
      <c r="BG556" s="48">
        <v>313</v>
      </c>
      <c r="BH556" s="41"/>
      <c r="BI556" s="48">
        <v>38</v>
      </c>
      <c r="BJ556" s="41"/>
      <c r="BK556" s="48">
        <v>206</v>
      </c>
      <c r="BL556" s="41"/>
      <c r="BM556" s="41"/>
      <c r="BN556" s="41"/>
      <c r="BO556" s="48">
        <v>50</v>
      </c>
      <c r="BP556" s="41"/>
      <c r="BQ556" s="48">
        <v>37</v>
      </c>
      <c r="BR556" s="46"/>
      <c r="BS556" s="48">
        <v>19</v>
      </c>
      <c r="BT556" s="41"/>
      <c r="BU556" s="48">
        <v>131</v>
      </c>
      <c r="BV556" s="41"/>
      <c r="BW556" s="48">
        <v>7</v>
      </c>
      <c r="CA556" s="46"/>
      <c r="CB556" s="46"/>
      <c r="CC556" s="46"/>
      <c r="CD556" s="46"/>
      <c r="CE556" s="46"/>
      <c r="CF556" s="46"/>
      <c r="CG556" s="46"/>
      <c r="CH556" s="46"/>
      <c r="CI556" s="46"/>
      <c r="CJ556" s="46"/>
      <c r="CK556" s="46"/>
      <c r="CL556" s="46"/>
      <c r="CM556" s="46"/>
      <c r="CN556" s="46"/>
      <c r="CO556" s="46"/>
      <c r="CP556" s="46"/>
      <c r="CQ556" s="46"/>
      <c r="CR556" s="46"/>
      <c r="CS556" s="46"/>
      <c r="CT556" s="46"/>
    </row>
    <row r="557" spans="1:98">
      <c r="A557" s="1" t="s">
        <v>289</v>
      </c>
      <c r="B557" s="4" t="s">
        <v>290</v>
      </c>
      <c r="C557" s="1" t="s">
        <v>642</v>
      </c>
      <c r="D557" s="63">
        <v>67.22</v>
      </c>
      <c r="E557" s="63">
        <v>2.93</v>
      </c>
      <c r="F557" s="1" t="s">
        <v>308</v>
      </c>
      <c r="G557" s="46" t="s">
        <v>132</v>
      </c>
      <c r="J557" s="38" t="s">
        <v>311</v>
      </c>
      <c r="K557" s="1" t="s">
        <v>522</v>
      </c>
      <c r="L557" s="4" t="s">
        <v>426</v>
      </c>
      <c r="M557" s="78" t="s">
        <v>866</v>
      </c>
      <c r="N557" s="78"/>
      <c r="R557" s="4">
        <v>51.6</v>
      </c>
      <c r="S557" s="1">
        <v>1.62</v>
      </c>
      <c r="T557" s="1">
        <v>16.61</v>
      </c>
      <c r="U557" s="1">
        <v>15.9</v>
      </c>
      <c r="V557" s="1">
        <v>0.97</v>
      </c>
      <c r="W557" s="1">
        <v>0.03</v>
      </c>
      <c r="X557" s="1">
        <v>0.71</v>
      </c>
      <c r="Y557" s="1">
        <v>1.07</v>
      </c>
      <c r="Z557" s="1">
        <v>0.95</v>
      </c>
      <c r="AA557" s="1">
        <v>2.71</v>
      </c>
      <c r="AB557" s="1">
        <v>0.43</v>
      </c>
      <c r="AC557" s="9">
        <v>6.49</v>
      </c>
      <c r="AD557" s="23">
        <f t="shared" si="393"/>
        <v>99.089999999999989</v>
      </c>
      <c r="AE557" s="21">
        <f t="shared" si="394"/>
        <v>15.264100000000001</v>
      </c>
      <c r="AF557" s="23">
        <f t="shared" si="395"/>
        <v>7.6572920310570933E-2</v>
      </c>
      <c r="AH557" s="16">
        <f t="shared" si="396"/>
        <v>55.723542116630675</v>
      </c>
      <c r="AI557" s="16">
        <f t="shared" si="397"/>
        <v>1.7494600431965444</v>
      </c>
      <c r="AJ557" s="16">
        <f t="shared" si="398"/>
        <v>17.937365010799137</v>
      </c>
      <c r="AK557" s="16">
        <f t="shared" si="399"/>
        <v>17.170626349892011</v>
      </c>
      <c r="AL557" s="16">
        <f t="shared" si="400"/>
        <v>1.0475161987041037</v>
      </c>
      <c r="AM557" s="16">
        <f t="shared" si="401"/>
        <v>3.2397408207343416E-2</v>
      </c>
      <c r="AN557" s="16">
        <f t="shared" si="402"/>
        <v>0.7667386609071275</v>
      </c>
      <c r="AO557" s="16">
        <f t="shared" si="403"/>
        <v>1.1555075593952484</v>
      </c>
      <c r="AP557" s="16">
        <f t="shared" si="404"/>
        <v>1.0259179265658749</v>
      </c>
      <c r="AQ557" s="16">
        <f t="shared" si="405"/>
        <v>2.9265658747300218</v>
      </c>
      <c r="AR557" s="16">
        <f t="shared" si="406"/>
        <v>0.46436285097192226</v>
      </c>
      <c r="AS557" s="16">
        <f t="shared" si="407"/>
        <v>100.00000000000001</v>
      </c>
      <c r="AT557" s="16">
        <f t="shared" si="408"/>
        <v>16.483909287257021</v>
      </c>
      <c r="AY557" s="46"/>
      <c r="AZ557" s="41"/>
      <c r="BA557" s="48">
        <v>103</v>
      </c>
      <c r="BB557" s="41"/>
      <c r="BC557" s="48">
        <v>85</v>
      </c>
      <c r="BD557" s="41"/>
      <c r="BE557" s="48">
        <v>33</v>
      </c>
      <c r="BF557" s="41"/>
      <c r="BG557" s="48">
        <v>97</v>
      </c>
      <c r="BH557" s="41"/>
      <c r="BI557" s="48">
        <v>105</v>
      </c>
      <c r="BJ557" s="41"/>
      <c r="BK557" s="48">
        <v>101</v>
      </c>
      <c r="BL557" s="41"/>
      <c r="BM557" s="41"/>
      <c r="BN557" s="41"/>
      <c r="BO557" s="48">
        <v>245</v>
      </c>
      <c r="BP557" s="41"/>
      <c r="BQ557" s="48">
        <v>64</v>
      </c>
      <c r="BR557" s="46"/>
      <c r="BS557" s="48">
        <v>99</v>
      </c>
      <c r="BT557" s="41"/>
      <c r="BU557" s="48">
        <v>291</v>
      </c>
      <c r="BV557" s="41"/>
      <c r="BW557" s="48">
        <v>24</v>
      </c>
      <c r="CA557" s="46"/>
      <c r="CB557" s="46"/>
      <c r="CC557" s="46"/>
      <c r="CD557" s="46"/>
      <c r="CE557" s="46"/>
      <c r="CF557" s="46"/>
      <c r="CG557" s="46"/>
      <c r="CH557" s="46"/>
      <c r="CI557" s="46"/>
      <c r="CJ557" s="46"/>
      <c r="CK557" s="46"/>
      <c r="CL557" s="46"/>
      <c r="CM557" s="46"/>
      <c r="CN557" s="46"/>
      <c r="CO557" s="46"/>
      <c r="CP557" s="46"/>
      <c r="CQ557" s="46"/>
      <c r="CR557" s="46"/>
      <c r="CS557" s="46"/>
      <c r="CT557" s="46"/>
    </row>
    <row r="558" spans="1:98">
      <c r="A558" s="57" t="s">
        <v>652</v>
      </c>
      <c r="B558" s="46"/>
      <c r="C558" s="4"/>
      <c r="J558" s="38"/>
      <c r="L558" s="4"/>
      <c r="M558" s="4"/>
      <c r="N558" s="4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F558" s="23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Y558" s="46"/>
      <c r="AZ558" s="41"/>
      <c r="BA558" s="48"/>
      <c r="BB558" s="41"/>
      <c r="BC558" s="48"/>
      <c r="BD558" s="41"/>
      <c r="BE558" s="48"/>
      <c r="BF558" s="41"/>
      <c r="BG558" s="48"/>
      <c r="BH558" s="41"/>
      <c r="BI558" s="48"/>
      <c r="BJ558" s="41"/>
      <c r="BK558" s="48"/>
      <c r="BL558" s="41"/>
      <c r="BM558" s="41"/>
      <c r="BN558" s="41"/>
      <c r="BO558" s="48"/>
      <c r="BP558" s="41"/>
      <c r="BQ558" s="48"/>
      <c r="BR558" s="46"/>
      <c r="BS558" s="48"/>
      <c r="BT558" s="41"/>
      <c r="BU558" s="48"/>
      <c r="BV558" s="41"/>
      <c r="BW558" s="48"/>
      <c r="CA558" s="46"/>
      <c r="CB558" s="46"/>
      <c r="CC558" s="46"/>
      <c r="CD558" s="46"/>
      <c r="CE558" s="46"/>
      <c r="CF558" s="46"/>
      <c r="CG558" s="46"/>
      <c r="CH558" s="46"/>
      <c r="CI558" s="46"/>
      <c r="CJ558" s="46"/>
      <c r="CK558" s="46"/>
      <c r="CL558" s="46"/>
      <c r="CM558" s="46"/>
      <c r="CN558" s="46"/>
      <c r="CO558" s="46"/>
      <c r="CP558" s="46"/>
      <c r="CQ558" s="46"/>
      <c r="CR558" s="46"/>
      <c r="CS558" s="46"/>
      <c r="CT558" s="46"/>
    </row>
    <row r="559" spans="1:98">
      <c r="A559" s="1" t="s">
        <v>289</v>
      </c>
      <c r="B559" s="4" t="s">
        <v>290</v>
      </c>
      <c r="C559" s="40" t="s">
        <v>133</v>
      </c>
      <c r="D559" s="63">
        <v>67.22</v>
      </c>
      <c r="E559" s="63">
        <v>2.93</v>
      </c>
      <c r="F559" s="1" t="s">
        <v>309</v>
      </c>
      <c r="G559" s="40" t="s">
        <v>132</v>
      </c>
      <c r="H559" s="40"/>
      <c r="I559" s="39"/>
      <c r="J559" s="1" t="s">
        <v>311</v>
      </c>
      <c r="K559" s="40"/>
      <c r="L559" s="4" t="s">
        <v>423</v>
      </c>
      <c r="M559" s="78" t="s">
        <v>867</v>
      </c>
      <c r="N559" s="78"/>
      <c r="P559" s="4"/>
      <c r="Q559" s="4"/>
      <c r="R559" s="4">
        <v>47.93</v>
      </c>
      <c r="S559" s="4">
        <v>1.48</v>
      </c>
      <c r="T559" s="4">
        <v>28.7</v>
      </c>
      <c r="U559" s="4">
        <v>18.510000000000002</v>
      </c>
      <c r="W559" s="4">
        <v>0.1</v>
      </c>
      <c r="X559" s="4">
        <v>0.46</v>
      </c>
      <c r="Y559" s="4">
        <v>0.88</v>
      </c>
      <c r="Z559" s="4">
        <v>1.04</v>
      </c>
      <c r="AA559" s="4">
        <v>0.89</v>
      </c>
      <c r="AB559" s="4">
        <v>0.14000000000000001</v>
      </c>
      <c r="AD559" s="23">
        <f>SUM(R559:AB559)+AC559</f>
        <v>100.13</v>
      </c>
      <c r="AE559" s="21">
        <f>V559+0.899*U559</f>
        <v>16.640490000000003</v>
      </c>
      <c r="AF559" s="23">
        <f>(X559/40.3)/((X559/40.3)+(AE559/71.844))</f>
        <v>4.6966206137283167E-2</v>
      </c>
      <c r="AG559" s="45"/>
      <c r="AH559" s="16">
        <f t="shared" ref="AH559:AR561" si="409">100*R559/SUM($R559:$AB559)</f>
        <v>47.867771896534506</v>
      </c>
      <c r="AI559" s="16">
        <f t="shared" si="409"/>
        <v>1.4780784979526616</v>
      </c>
      <c r="AJ559" s="16">
        <f t="shared" si="409"/>
        <v>28.662738440027965</v>
      </c>
      <c r="AK559" s="16">
        <f t="shared" si="409"/>
        <v>18.485968241286329</v>
      </c>
      <c r="AL559" s="16">
        <f t="shared" si="409"/>
        <v>0</v>
      </c>
      <c r="AM559" s="16">
        <f t="shared" si="409"/>
        <v>9.9870168780585244E-2</v>
      </c>
      <c r="AN559" s="16">
        <f t="shared" si="409"/>
        <v>0.4594027763906921</v>
      </c>
      <c r="AO559" s="16">
        <f t="shared" si="409"/>
        <v>0.8788574852691502</v>
      </c>
      <c r="AP559" s="16">
        <f t="shared" si="409"/>
        <v>1.0386497553180865</v>
      </c>
      <c r="AQ559" s="16">
        <f t="shared" si="409"/>
        <v>0.88884450214720867</v>
      </c>
      <c r="AR559" s="16">
        <f t="shared" si="409"/>
        <v>0.13981823629281936</v>
      </c>
      <c r="AS559" s="16">
        <f>SUM(AH559:AR559)</f>
        <v>100.00000000000001</v>
      </c>
      <c r="AT559" s="16">
        <f>AL559+0.899*AK559</f>
        <v>16.618885448916412</v>
      </c>
      <c r="AU559" s="45"/>
      <c r="AV559" s="4"/>
      <c r="AY559" s="39"/>
      <c r="BS559" s="39"/>
      <c r="BT559" s="39"/>
      <c r="BU559" s="39"/>
      <c r="BV559" s="39"/>
      <c r="BW559" s="39"/>
      <c r="CA559" s="39"/>
      <c r="CB559" s="39"/>
      <c r="CC559" s="39"/>
      <c r="CD559" s="39"/>
      <c r="CE559" s="39"/>
      <c r="CF559" s="39"/>
      <c r="CG559" s="39"/>
      <c r="CH559" s="39"/>
      <c r="CI559" s="39"/>
      <c r="CJ559" s="39"/>
      <c r="CK559" s="39"/>
      <c r="CL559" s="39"/>
      <c r="CM559" s="39"/>
      <c r="CN559" s="39"/>
      <c r="CO559" s="39"/>
      <c r="CP559" s="39"/>
      <c r="CQ559" s="39"/>
      <c r="CR559" s="39"/>
      <c r="CS559" s="39"/>
      <c r="CT559" s="39"/>
    </row>
    <row r="560" spans="1:98">
      <c r="A560" s="1" t="s">
        <v>289</v>
      </c>
      <c r="B560" s="4" t="s">
        <v>290</v>
      </c>
      <c r="C560" s="40" t="s">
        <v>100</v>
      </c>
      <c r="D560" s="63">
        <v>67.22</v>
      </c>
      <c r="E560" s="63">
        <v>2.93</v>
      </c>
      <c r="F560" s="1" t="s">
        <v>309</v>
      </c>
      <c r="G560" s="4" t="s">
        <v>101</v>
      </c>
      <c r="H560" s="4"/>
      <c r="J560" s="1" t="s">
        <v>311</v>
      </c>
      <c r="K560" s="40"/>
      <c r="L560" s="4" t="s">
        <v>423</v>
      </c>
      <c r="M560" s="78" t="s">
        <v>867</v>
      </c>
      <c r="N560" s="78"/>
      <c r="O560" s="40"/>
      <c r="P560" s="4"/>
      <c r="Q560" s="4"/>
      <c r="R560" s="4">
        <v>74.5</v>
      </c>
      <c r="S560" s="4">
        <v>0.68</v>
      </c>
      <c r="T560" s="4">
        <v>9.8800000000000008</v>
      </c>
      <c r="U560" s="4">
        <v>3.53</v>
      </c>
      <c r="W560" s="4">
        <v>0.17</v>
      </c>
      <c r="X560" s="4">
        <v>0.57999999999999996</v>
      </c>
      <c r="Y560" s="4">
        <v>4.79</v>
      </c>
      <c r="Z560" s="4">
        <v>0.68</v>
      </c>
      <c r="AA560" s="4">
        <v>4.97</v>
      </c>
      <c r="AB560" s="4">
        <v>0.22</v>
      </c>
      <c r="AD560" s="23">
        <f>SUM(R560:AB560)+AC560</f>
        <v>100.00000000000001</v>
      </c>
      <c r="AE560" s="21">
        <f>V560+0.899*U560</f>
        <v>3.17347</v>
      </c>
      <c r="AF560" s="23">
        <f>(X560/40.3)/((X560/40.3)+(AE560/71.844))</f>
        <v>0.24575036143028736</v>
      </c>
      <c r="AG560" s="45"/>
      <c r="AH560" s="16">
        <f t="shared" si="409"/>
        <v>74.499999999999986</v>
      </c>
      <c r="AI560" s="16">
        <f t="shared" si="409"/>
        <v>0.67999999999999994</v>
      </c>
      <c r="AJ560" s="16">
        <f t="shared" si="409"/>
        <v>9.879999999999999</v>
      </c>
      <c r="AK560" s="16">
        <f t="shared" si="409"/>
        <v>3.5299999999999994</v>
      </c>
      <c r="AL560" s="16">
        <f t="shared" si="409"/>
        <v>0</v>
      </c>
      <c r="AM560" s="16">
        <f t="shared" si="409"/>
        <v>0.16999999999999998</v>
      </c>
      <c r="AN560" s="16">
        <f t="shared" si="409"/>
        <v>0.57999999999999985</v>
      </c>
      <c r="AO560" s="16">
        <f t="shared" si="409"/>
        <v>4.7899999999999991</v>
      </c>
      <c r="AP560" s="16">
        <f t="shared" si="409"/>
        <v>0.67999999999999994</v>
      </c>
      <c r="AQ560" s="16">
        <f t="shared" si="409"/>
        <v>4.9699999999999989</v>
      </c>
      <c r="AR560" s="16">
        <f t="shared" si="409"/>
        <v>0.21999999999999997</v>
      </c>
      <c r="AS560" s="16">
        <f>SUM(AH560:AR560)</f>
        <v>100</v>
      </c>
      <c r="AT560" s="16">
        <f>AL560+0.899*AK560</f>
        <v>3.1734699999999996</v>
      </c>
      <c r="AU560" s="45"/>
      <c r="AV560" s="4"/>
      <c r="AY560" s="39">
        <v>20.13</v>
      </c>
      <c r="BR560" s="39">
        <v>29.67</v>
      </c>
      <c r="BS560" s="39"/>
      <c r="BT560" s="39">
        <v>231.74</v>
      </c>
      <c r="BV560" s="39">
        <v>17.8</v>
      </c>
      <c r="BW560" s="39"/>
      <c r="CA560" s="39">
        <v>243.7</v>
      </c>
      <c r="CB560" s="39">
        <v>22.57</v>
      </c>
      <c r="CC560" s="39">
        <v>51.03</v>
      </c>
      <c r="CD560" s="39">
        <v>5.89</v>
      </c>
      <c r="CE560" s="39">
        <v>23.07</v>
      </c>
      <c r="CF560" s="39">
        <v>4.5</v>
      </c>
      <c r="CG560" s="39">
        <v>0.93</v>
      </c>
      <c r="CH560" s="39">
        <v>4.57</v>
      </c>
      <c r="CI560" s="39">
        <v>0.71</v>
      </c>
      <c r="CJ560" s="39">
        <v>4.29</v>
      </c>
      <c r="CK560" s="39">
        <v>0.88</v>
      </c>
      <c r="CL560" s="39">
        <v>2.4500000000000002</v>
      </c>
      <c r="CM560" s="39">
        <v>0.37</v>
      </c>
      <c r="CN560" s="39">
        <v>2.09</v>
      </c>
      <c r="CO560" s="39">
        <v>0.32</v>
      </c>
      <c r="CP560" s="39">
        <v>4.91</v>
      </c>
      <c r="CQ560" s="39">
        <v>0.88</v>
      </c>
      <c r="CR560" s="39">
        <v>20.67</v>
      </c>
      <c r="CS560" s="39">
        <v>7.64</v>
      </c>
      <c r="CT560" s="39">
        <v>2.42</v>
      </c>
    </row>
    <row r="561" spans="1:98">
      <c r="A561" s="1" t="s">
        <v>289</v>
      </c>
      <c r="B561" s="4" t="s">
        <v>290</v>
      </c>
      <c r="C561" s="40" t="s">
        <v>130</v>
      </c>
      <c r="D561" s="63">
        <v>67.22</v>
      </c>
      <c r="E561" s="63">
        <v>2.93</v>
      </c>
      <c r="F561" s="1" t="s">
        <v>309</v>
      </c>
      <c r="G561" s="4" t="s">
        <v>105</v>
      </c>
      <c r="H561" s="4"/>
      <c r="J561" s="1" t="s">
        <v>311</v>
      </c>
      <c r="K561" s="40"/>
      <c r="L561" s="4" t="s">
        <v>423</v>
      </c>
      <c r="M561" s="78" t="s">
        <v>867</v>
      </c>
      <c r="N561" s="78"/>
      <c r="O561" s="40"/>
      <c r="P561" s="4"/>
      <c r="Q561" s="4"/>
      <c r="R561" s="4">
        <v>61.22</v>
      </c>
      <c r="S561" s="4">
        <v>1.17</v>
      </c>
      <c r="T561" s="4">
        <v>16.79</v>
      </c>
      <c r="U561" s="4">
        <v>8.73</v>
      </c>
      <c r="W561" s="4">
        <v>0.11</v>
      </c>
      <c r="X561" s="4">
        <v>2.87</v>
      </c>
      <c r="Y561" s="4">
        <v>2.27</v>
      </c>
      <c r="Z561" s="4">
        <v>2.25</v>
      </c>
      <c r="AA561" s="4">
        <v>4.41</v>
      </c>
      <c r="AB561" s="4">
        <v>0.18</v>
      </c>
      <c r="AD561" s="23">
        <f>SUM(R561:AB561)+AC561</f>
        <v>100.00000000000001</v>
      </c>
      <c r="AE561" s="21">
        <f>V561+0.899*U561</f>
        <v>7.8482700000000003</v>
      </c>
      <c r="AF561" s="23">
        <f>(X561/40.3)/((X561/40.3)+(AE561/71.844))</f>
        <v>0.39464332134255997</v>
      </c>
      <c r="AG561" s="45"/>
      <c r="AH561" s="16">
        <f t="shared" si="409"/>
        <v>61.219999999999992</v>
      </c>
      <c r="AI561" s="16">
        <f t="shared" si="409"/>
        <v>1.17</v>
      </c>
      <c r="AJ561" s="16">
        <f t="shared" si="409"/>
        <v>16.79</v>
      </c>
      <c r="AK561" s="16">
        <f t="shared" si="409"/>
        <v>8.7299999999999986</v>
      </c>
      <c r="AL561" s="16">
        <f t="shared" si="409"/>
        <v>0</v>
      </c>
      <c r="AM561" s="16">
        <f t="shared" si="409"/>
        <v>0.10999999999999999</v>
      </c>
      <c r="AN561" s="16">
        <f t="shared" si="409"/>
        <v>2.8699999999999997</v>
      </c>
      <c r="AO561" s="16">
        <f t="shared" si="409"/>
        <v>2.2699999999999996</v>
      </c>
      <c r="AP561" s="16">
        <f t="shared" si="409"/>
        <v>2.2499999999999996</v>
      </c>
      <c r="AQ561" s="16">
        <f t="shared" si="409"/>
        <v>4.4099999999999993</v>
      </c>
      <c r="AR561" s="16">
        <f t="shared" si="409"/>
        <v>0.17999999999999997</v>
      </c>
      <c r="AS561" s="16">
        <f>SUM(AH561:AR561)</f>
        <v>100</v>
      </c>
      <c r="AT561" s="16">
        <f>AL561+0.899*AK561</f>
        <v>7.8482699999999994</v>
      </c>
      <c r="AU561" s="45"/>
      <c r="AV561" s="4"/>
      <c r="AY561" s="39">
        <v>22.78</v>
      </c>
      <c r="BR561" s="39">
        <v>50.5</v>
      </c>
      <c r="BS561" s="39"/>
      <c r="BT561" s="39">
        <v>254.67</v>
      </c>
      <c r="BV561" s="39">
        <v>16.71</v>
      </c>
      <c r="BW561" s="39"/>
      <c r="CA561" s="39">
        <v>1818.22</v>
      </c>
      <c r="CB561" s="39">
        <v>45.54</v>
      </c>
      <c r="CC561" s="39">
        <v>96.78</v>
      </c>
      <c r="CD561" s="39">
        <v>12.26</v>
      </c>
      <c r="CE561" s="39">
        <v>43.92</v>
      </c>
      <c r="CF561" s="39">
        <v>7.91</v>
      </c>
      <c r="CG561" s="39">
        <v>1.79</v>
      </c>
      <c r="CH561" s="39">
        <v>8.3000000000000007</v>
      </c>
      <c r="CI561" s="39">
        <v>1.32</v>
      </c>
      <c r="CJ561" s="39">
        <v>7.74</v>
      </c>
      <c r="CK561" s="39">
        <v>1.75</v>
      </c>
      <c r="CL561" s="39">
        <v>5.0599999999999996</v>
      </c>
      <c r="CM561" s="39">
        <v>0.82</v>
      </c>
      <c r="CN561" s="39">
        <v>4.8499999999999996</v>
      </c>
      <c r="CO561" s="39">
        <v>0.74</v>
      </c>
      <c r="CP561" s="39">
        <v>6.25</v>
      </c>
      <c r="CQ561" s="39">
        <v>1.07</v>
      </c>
      <c r="CR561" s="39">
        <v>19.46</v>
      </c>
      <c r="CS561" s="39">
        <v>11.38</v>
      </c>
      <c r="CT561" s="39">
        <v>2.66</v>
      </c>
    </row>
    <row r="562" spans="1:98">
      <c r="A562" s="1" t="s">
        <v>289</v>
      </c>
      <c r="B562" s="4" t="s">
        <v>290</v>
      </c>
      <c r="C562" s="40" t="s">
        <v>104</v>
      </c>
      <c r="D562" s="63">
        <v>67.22</v>
      </c>
      <c r="E562" s="63">
        <v>2.93</v>
      </c>
      <c r="F562" s="1" t="s">
        <v>309</v>
      </c>
      <c r="G562" s="4" t="s">
        <v>105</v>
      </c>
      <c r="H562" s="4"/>
      <c r="J562" s="1" t="s">
        <v>311</v>
      </c>
      <c r="K562" s="40"/>
      <c r="L562" s="4" t="s">
        <v>423</v>
      </c>
      <c r="M562" s="78" t="s">
        <v>867</v>
      </c>
      <c r="N562" s="78"/>
      <c r="O562" s="4"/>
      <c r="P562" s="4"/>
      <c r="Q562" s="4"/>
      <c r="AD562" s="23"/>
      <c r="AE562" s="23"/>
      <c r="AF562" s="23"/>
      <c r="AG562" s="45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45"/>
      <c r="AV562" s="4"/>
      <c r="AY562" s="39">
        <v>27.97</v>
      </c>
      <c r="BR562" s="39">
        <v>47.56</v>
      </c>
      <c r="BS562" s="39"/>
      <c r="BT562" s="39">
        <v>378.5</v>
      </c>
      <c r="BV562" s="39">
        <v>21.24</v>
      </c>
      <c r="BW562" s="39"/>
      <c r="CA562" s="39">
        <v>1719.9</v>
      </c>
      <c r="CB562" s="39">
        <v>38.369999999999997</v>
      </c>
      <c r="CC562" s="39">
        <v>85.54</v>
      </c>
      <c r="CD562" s="39">
        <v>9.36</v>
      </c>
      <c r="CE562" s="39">
        <v>37.159999999999997</v>
      </c>
      <c r="CF562" s="39">
        <v>7.74</v>
      </c>
      <c r="CG562" s="39">
        <v>1.19</v>
      </c>
      <c r="CH562" s="39">
        <v>8.2799999999999994</v>
      </c>
      <c r="CI562" s="39">
        <v>1.23</v>
      </c>
      <c r="CJ562" s="39">
        <v>7.73</v>
      </c>
      <c r="CK562" s="39">
        <v>1.59</v>
      </c>
      <c r="CL562" s="39">
        <v>4.76</v>
      </c>
      <c r="CM562" s="39">
        <v>0.78</v>
      </c>
      <c r="CN562" s="39">
        <v>4.7</v>
      </c>
      <c r="CO562" s="39">
        <v>0.73</v>
      </c>
      <c r="CP562" s="39">
        <v>8.58</v>
      </c>
      <c r="CQ562" s="39">
        <v>1.19</v>
      </c>
      <c r="CR562" s="39">
        <v>24.63</v>
      </c>
      <c r="CS562" s="39">
        <v>14.02</v>
      </c>
      <c r="CT562" s="39">
        <v>2.94</v>
      </c>
    </row>
    <row r="563" spans="1:98">
      <c r="A563" s="1" t="s">
        <v>289</v>
      </c>
      <c r="B563" s="4" t="s">
        <v>290</v>
      </c>
      <c r="C563" s="40" t="s">
        <v>131</v>
      </c>
      <c r="D563" s="63">
        <v>67.22</v>
      </c>
      <c r="E563" s="63">
        <v>2.93</v>
      </c>
      <c r="F563" s="1" t="s">
        <v>309</v>
      </c>
      <c r="G563" s="4" t="s">
        <v>105</v>
      </c>
      <c r="H563" s="4"/>
      <c r="J563" s="1" t="s">
        <v>311</v>
      </c>
      <c r="K563" s="40"/>
      <c r="L563" s="4" t="s">
        <v>423</v>
      </c>
      <c r="M563" s="78" t="s">
        <v>867</v>
      </c>
      <c r="N563" s="78"/>
      <c r="O563" s="40"/>
      <c r="P563" s="4"/>
      <c r="Q563" s="4"/>
      <c r="R563" s="4">
        <v>66.45</v>
      </c>
      <c r="S563" s="4">
        <v>0.91</v>
      </c>
      <c r="T563" s="4">
        <v>14.03</v>
      </c>
      <c r="U563" s="4">
        <v>7.29</v>
      </c>
      <c r="W563" s="4">
        <v>0.08</v>
      </c>
      <c r="X563" s="4">
        <v>2.31</v>
      </c>
      <c r="Y563" s="4">
        <v>2.59</v>
      </c>
      <c r="Z563" s="4">
        <v>2.99</v>
      </c>
      <c r="AA563" s="4">
        <v>3.15</v>
      </c>
      <c r="AB563" s="4">
        <v>0.21</v>
      </c>
      <c r="AD563" s="23">
        <f>SUM(R563:AB563)+AC563</f>
        <v>100.01</v>
      </c>
      <c r="AE563" s="21">
        <f>V563+0.899*U563</f>
        <v>6.5537100000000006</v>
      </c>
      <c r="AF563" s="23">
        <f>(X563/40.3)/((X563/40.3)+(AE563/71.844))</f>
        <v>0.3858861055525929</v>
      </c>
      <c r="AG563" s="45"/>
      <c r="AH563" s="16">
        <f t="shared" ref="AH563:AR566" si="410">100*R563/SUM($R563:$AB563)</f>
        <v>66.443355664433554</v>
      </c>
      <c r="AI563" s="16">
        <f t="shared" si="410"/>
        <v>0.90990900909909</v>
      </c>
      <c r="AJ563" s="16">
        <f t="shared" si="410"/>
        <v>14.028597140285971</v>
      </c>
      <c r="AK563" s="16">
        <f t="shared" si="410"/>
        <v>7.2892710728927099</v>
      </c>
      <c r="AL563" s="16">
        <f t="shared" si="410"/>
        <v>0</v>
      </c>
      <c r="AM563" s="16">
        <f t="shared" si="410"/>
        <v>7.9992000799919999E-2</v>
      </c>
      <c r="AN563" s="16">
        <f t="shared" si="410"/>
        <v>2.3097690230976902</v>
      </c>
      <c r="AO563" s="16">
        <f t="shared" si="410"/>
        <v>2.5897410258974101</v>
      </c>
      <c r="AP563" s="16">
        <f t="shared" si="410"/>
        <v>2.9897010298970104</v>
      </c>
      <c r="AQ563" s="16">
        <f t="shared" si="410"/>
        <v>3.1496850314968503</v>
      </c>
      <c r="AR563" s="16">
        <f t="shared" si="410"/>
        <v>0.20997900209979001</v>
      </c>
      <c r="AS563" s="16">
        <f>SUM(AH563:AR563)</f>
        <v>99.999999999999972</v>
      </c>
      <c r="AT563" s="16">
        <f>AL563+0.899*AK563</f>
        <v>6.5530546945305463</v>
      </c>
      <c r="AU563" s="45"/>
      <c r="AV563" s="4"/>
      <c r="AY563" s="39">
        <v>26.39</v>
      </c>
      <c r="BR563" s="39">
        <v>36.79</v>
      </c>
      <c r="BS563" s="39"/>
      <c r="BT563" s="39">
        <v>284.19</v>
      </c>
      <c r="BV563" s="39">
        <v>15.86</v>
      </c>
      <c r="BW563" s="39"/>
      <c r="CA563" s="39">
        <v>1591.95</v>
      </c>
      <c r="CB563" s="39">
        <v>26.88</v>
      </c>
      <c r="CC563" s="39">
        <v>62.41</v>
      </c>
      <c r="CD563" s="39">
        <v>6.98</v>
      </c>
      <c r="CE563" s="39">
        <v>27.96</v>
      </c>
      <c r="CF563" s="39">
        <v>5.93</v>
      </c>
      <c r="CG563" s="39">
        <v>1.2</v>
      </c>
      <c r="CH563" s="39">
        <v>6.39</v>
      </c>
      <c r="CI563" s="39">
        <v>1.01</v>
      </c>
      <c r="CJ563" s="39">
        <v>6.15</v>
      </c>
      <c r="CK563" s="39">
        <v>1.24</v>
      </c>
      <c r="CL563" s="39">
        <v>3.72</v>
      </c>
      <c r="CM563" s="39">
        <v>0.56999999999999995</v>
      </c>
      <c r="CN563" s="39">
        <v>3.5</v>
      </c>
      <c r="CO563" s="39">
        <v>0.55000000000000004</v>
      </c>
      <c r="CP563" s="39">
        <v>6.5</v>
      </c>
      <c r="CQ563" s="39">
        <v>0.88</v>
      </c>
      <c r="CR563" s="39">
        <v>14.2</v>
      </c>
      <c r="CS563" s="39">
        <v>10.72</v>
      </c>
      <c r="CT563" s="39">
        <v>2.1800000000000002</v>
      </c>
    </row>
    <row r="564" spans="1:98">
      <c r="A564" s="1" t="s">
        <v>289</v>
      </c>
      <c r="B564" s="4" t="s">
        <v>290</v>
      </c>
      <c r="C564" s="40" t="s">
        <v>107</v>
      </c>
      <c r="D564" s="63">
        <v>67.22</v>
      </c>
      <c r="E564" s="63">
        <v>2.93</v>
      </c>
      <c r="F564" s="1" t="s">
        <v>309</v>
      </c>
      <c r="G564" s="4" t="s">
        <v>105</v>
      </c>
      <c r="H564" s="4"/>
      <c r="J564" s="1" t="s">
        <v>311</v>
      </c>
      <c r="K564" s="40"/>
      <c r="L564" s="4" t="s">
        <v>423</v>
      </c>
      <c r="M564" s="78" t="s">
        <v>867</v>
      </c>
      <c r="N564" s="78"/>
      <c r="O564" s="40"/>
      <c r="P564" s="4"/>
      <c r="Q564" s="4"/>
      <c r="R564" s="4">
        <v>54.49</v>
      </c>
      <c r="S564" s="4">
        <v>1.21</v>
      </c>
      <c r="T564" s="4">
        <v>18.73</v>
      </c>
      <c r="U564" s="4">
        <v>8</v>
      </c>
      <c r="W564" s="4">
        <v>0.15</v>
      </c>
      <c r="X564" s="4">
        <v>3.57</v>
      </c>
      <c r="Y564" s="4">
        <v>7.32</v>
      </c>
      <c r="Z564" s="4">
        <v>3.18</v>
      </c>
      <c r="AA564" s="4">
        <v>3.21</v>
      </c>
      <c r="AB564" s="4">
        <v>0.15</v>
      </c>
      <c r="AD564" s="23">
        <f>SUM(R564:AB564)+AC564</f>
        <v>100.01</v>
      </c>
      <c r="AE564" s="21">
        <f>V564+0.899*U564</f>
        <v>7.1920000000000002</v>
      </c>
      <c r="AF564" s="23">
        <f>(X564/40.3)/((X564/40.3)+(AE564/71.844))</f>
        <v>0.46947349677482458</v>
      </c>
      <c r="AG564" s="45"/>
      <c r="AH564" s="16">
        <f t="shared" si="410"/>
        <v>54.484551544845516</v>
      </c>
      <c r="AI564" s="16">
        <f t="shared" si="410"/>
        <v>1.2098790120987901</v>
      </c>
      <c r="AJ564" s="16">
        <f t="shared" si="410"/>
        <v>18.72812718728127</v>
      </c>
      <c r="AK564" s="16">
        <f t="shared" si="410"/>
        <v>7.9992000799920007</v>
      </c>
      <c r="AL564" s="16">
        <f t="shared" si="410"/>
        <v>0</v>
      </c>
      <c r="AM564" s="16">
        <f t="shared" si="410"/>
        <v>0.14998500149985</v>
      </c>
      <c r="AN564" s="16">
        <f t="shared" si="410"/>
        <v>3.5696430356964304</v>
      </c>
      <c r="AO564" s="16">
        <f t="shared" si="410"/>
        <v>7.3192680731926805</v>
      </c>
      <c r="AP564" s="16">
        <f t="shared" si="410"/>
        <v>3.17968203179682</v>
      </c>
      <c r="AQ564" s="16">
        <f t="shared" si="410"/>
        <v>3.2096790320967901</v>
      </c>
      <c r="AR564" s="16">
        <f t="shared" si="410"/>
        <v>0.14998500149985</v>
      </c>
      <c r="AS564" s="16">
        <f>SUM(AH564:AR564)</f>
        <v>99.999999999999957</v>
      </c>
      <c r="AT564" s="16">
        <f>AL564+0.899*AK564</f>
        <v>7.1912808719128085</v>
      </c>
      <c r="AU564" s="45"/>
      <c r="AV564" s="4"/>
      <c r="AY564" s="39" t="s">
        <v>89</v>
      </c>
      <c r="BR564" s="39">
        <v>34.85</v>
      </c>
      <c r="BS564" s="39"/>
      <c r="BT564" s="39">
        <v>128.21</v>
      </c>
      <c r="BV564" s="39">
        <v>8.65</v>
      </c>
      <c r="BW564" s="39"/>
      <c r="CA564" s="39">
        <v>363.66</v>
      </c>
      <c r="CB564" s="39">
        <v>19.75</v>
      </c>
      <c r="CC564" s="39">
        <v>42.73</v>
      </c>
      <c r="CD564" s="39">
        <v>4.63</v>
      </c>
      <c r="CE564" s="39">
        <v>19.350000000000001</v>
      </c>
      <c r="CF564" s="39">
        <v>4.5199999999999996</v>
      </c>
      <c r="CG564" s="39">
        <v>1.19</v>
      </c>
      <c r="CH564" s="39">
        <v>5.18</v>
      </c>
      <c r="CI564" s="39">
        <v>0.88</v>
      </c>
      <c r="CJ564" s="39">
        <v>5.62</v>
      </c>
      <c r="CK564" s="39">
        <v>1.2</v>
      </c>
      <c r="CL564" s="39">
        <v>3.64</v>
      </c>
      <c r="CM564" s="39">
        <v>0.61</v>
      </c>
      <c r="CN564" s="39">
        <v>3.52</v>
      </c>
      <c r="CO564" s="39">
        <v>0.56000000000000005</v>
      </c>
      <c r="CP564" s="39">
        <v>3.48</v>
      </c>
      <c r="CQ564" s="39">
        <v>0.52</v>
      </c>
      <c r="CR564" s="39">
        <v>9.7200000000000006</v>
      </c>
      <c r="CS564" s="39">
        <v>4.4000000000000004</v>
      </c>
      <c r="CT564" s="39">
        <v>1.1200000000000001</v>
      </c>
    </row>
    <row r="565" spans="1:98">
      <c r="A565" s="1" t="s">
        <v>289</v>
      </c>
      <c r="B565" s="4" t="s">
        <v>290</v>
      </c>
      <c r="C565" s="40" t="s">
        <v>107</v>
      </c>
      <c r="D565" s="63">
        <v>67.22</v>
      </c>
      <c r="E565" s="63">
        <v>2.93</v>
      </c>
      <c r="F565" s="1" t="s">
        <v>309</v>
      </c>
      <c r="G565" s="4" t="s">
        <v>105</v>
      </c>
      <c r="H565" s="4"/>
      <c r="J565" s="1" t="s">
        <v>311</v>
      </c>
      <c r="K565" s="40"/>
      <c r="L565" s="4" t="s">
        <v>423</v>
      </c>
      <c r="M565" s="78" t="s">
        <v>867</v>
      </c>
      <c r="N565" s="78"/>
      <c r="O565" s="40"/>
      <c r="P565" s="4"/>
      <c r="Q565" s="4"/>
      <c r="R565" s="4">
        <v>54.49</v>
      </c>
      <c r="S565" s="4">
        <v>1.21</v>
      </c>
      <c r="T565" s="4">
        <v>18.73</v>
      </c>
      <c r="U565" s="4">
        <v>8</v>
      </c>
      <c r="W565" s="4">
        <v>0.15</v>
      </c>
      <c r="X565" s="4">
        <v>3.57</v>
      </c>
      <c r="Y565" s="4">
        <v>7.32</v>
      </c>
      <c r="Z565" s="4">
        <v>3.18</v>
      </c>
      <c r="AA565" s="4">
        <v>3.21</v>
      </c>
      <c r="AB565" s="4">
        <v>0.15</v>
      </c>
      <c r="AD565" s="23">
        <f>SUM(R565:AB565)+AC565</f>
        <v>100.01</v>
      </c>
      <c r="AE565" s="21">
        <f>V565+0.899*U565</f>
        <v>7.1920000000000002</v>
      </c>
      <c r="AF565" s="23">
        <f>(X565/40.3)/((X565/40.3)+(AE565/71.844))</f>
        <v>0.46947349677482458</v>
      </c>
      <c r="AG565" s="45"/>
      <c r="AH565" s="16">
        <f t="shared" si="410"/>
        <v>54.484551544845516</v>
      </c>
      <c r="AI565" s="16">
        <f t="shared" si="410"/>
        <v>1.2098790120987901</v>
      </c>
      <c r="AJ565" s="16">
        <f t="shared" si="410"/>
        <v>18.72812718728127</v>
      </c>
      <c r="AK565" s="16">
        <f t="shared" si="410"/>
        <v>7.9992000799920007</v>
      </c>
      <c r="AL565" s="16">
        <f t="shared" si="410"/>
        <v>0</v>
      </c>
      <c r="AM565" s="16">
        <f t="shared" si="410"/>
        <v>0.14998500149985</v>
      </c>
      <c r="AN565" s="16">
        <f t="shared" si="410"/>
        <v>3.5696430356964304</v>
      </c>
      <c r="AO565" s="16">
        <f t="shared" si="410"/>
        <v>7.3192680731926805</v>
      </c>
      <c r="AP565" s="16">
        <f t="shared" si="410"/>
        <v>3.17968203179682</v>
      </c>
      <c r="AQ565" s="16">
        <f t="shared" si="410"/>
        <v>3.2096790320967901</v>
      </c>
      <c r="AR565" s="16">
        <f t="shared" si="410"/>
        <v>0.14998500149985</v>
      </c>
      <c r="AS565" s="16">
        <f>SUM(AH565:AR565)</f>
        <v>99.999999999999957</v>
      </c>
      <c r="AT565" s="16">
        <f>AL565+0.899*AK565</f>
        <v>7.1912808719128085</v>
      </c>
      <c r="AU565" s="45"/>
      <c r="AV565" s="4"/>
      <c r="AY565" s="39">
        <v>44.86</v>
      </c>
      <c r="BR565" s="39">
        <v>34.49</v>
      </c>
      <c r="BS565" s="39"/>
      <c r="BT565" s="39">
        <v>168.5</v>
      </c>
      <c r="BV565" s="39">
        <v>8.7899999999999991</v>
      </c>
      <c r="BW565" s="39"/>
      <c r="CA565" s="39">
        <v>385.62</v>
      </c>
      <c r="CB565" s="39">
        <v>19.579999999999998</v>
      </c>
      <c r="CC565" s="39">
        <v>42.54</v>
      </c>
      <c r="CD565" s="39">
        <v>4.6500000000000004</v>
      </c>
      <c r="CE565" s="39">
        <v>19.13</v>
      </c>
      <c r="CF565" s="39">
        <v>4.5199999999999996</v>
      </c>
      <c r="CG565" s="39">
        <v>1.23</v>
      </c>
      <c r="CH565" s="39">
        <v>5.28</v>
      </c>
      <c r="CI565" s="39">
        <v>0.89</v>
      </c>
      <c r="CJ565" s="39">
        <v>5.52</v>
      </c>
      <c r="CK565" s="39">
        <v>1.19</v>
      </c>
      <c r="CL565" s="39">
        <v>3.59</v>
      </c>
      <c r="CM565" s="39">
        <v>0.57999999999999996</v>
      </c>
      <c r="CN565" s="39">
        <v>3.42</v>
      </c>
      <c r="CO565" s="39">
        <v>0.57999999999999996</v>
      </c>
      <c r="CP565" s="39">
        <v>4.04</v>
      </c>
      <c r="CQ565" s="39">
        <v>0.49</v>
      </c>
      <c r="CR565" s="39">
        <v>12.84</v>
      </c>
      <c r="CS565" s="39">
        <v>5.13</v>
      </c>
      <c r="CT565" s="39">
        <v>1.1000000000000001</v>
      </c>
    </row>
    <row r="566" spans="1:98">
      <c r="A566" s="1" t="s">
        <v>289</v>
      </c>
      <c r="B566" s="4" t="s">
        <v>290</v>
      </c>
      <c r="C566" s="40" t="s">
        <v>108</v>
      </c>
      <c r="D566" s="63">
        <v>67.22</v>
      </c>
      <c r="E566" s="63">
        <v>2.93</v>
      </c>
      <c r="F566" s="1" t="s">
        <v>309</v>
      </c>
      <c r="G566" s="4" t="s">
        <v>105</v>
      </c>
      <c r="H566" s="4"/>
      <c r="J566" s="1" t="s">
        <v>311</v>
      </c>
      <c r="K566" s="40"/>
      <c r="L566" s="4" t="s">
        <v>423</v>
      </c>
      <c r="M566" s="78" t="s">
        <v>867</v>
      </c>
      <c r="N566" s="78"/>
      <c r="O566" s="40"/>
      <c r="P566" s="4"/>
      <c r="Q566" s="4"/>
      <c r="R566" s="4">
        <v>73.17</v>
      </c>
      <c r="S566" s="4">
        <v>0.67</v>
      </c>
      <c r="T566" s="4">
        <v>10.02</v>
      </c>
      <c r="U566" s="4">
        <v>6.2</v>
      </c>
      <c r="W566" s="4">
        <v>7.0000000000000007E-2</v>
      </c>
      <c r="X566" s="4">
        <v>2.88</v>
      </c>
      <c r="Y566" s="4">
        <v>1.83</v>
      </c>
      <c r="Z566" s="4">
        <v>2.2799999999999998</v>
      </c>
      <c r="AA566" s="4">
        <v>2.65</v>
      </c>
      <c r="AB566" s="4">
        <v>0.24</v>
      </c>
      <c r="AD566" s="23">
        <f>SUM(R566:AB566)+AC566</f>
        <v>100.00999999999999</v>
      </c>
      <c r="AE566" s="21">
        <f>V566+0.899*U566</f>
        <v>5.5738000000000003</v>
      </c>
      <c r="AF566" s="23">
        <f>(X566/40.3)/((X566/40.3)+(AE566/71.844))</f>
        <v>0.47947625830274754</v>
      </c>
      <c r="AG566" s="45"/>
      <c r="AH566" s="16">
        <f t="shared" si="410"/>
        <v>73.162683731626842</v>
      </c>
      <c r="AI566" s="16">
        <f t="shared" si="410"/>
        <v>0.66993300669933009</v>
      </c>
      <c r="AJ566" s="16">
        <f t="shared" si="410"/>
        <v>10.018998100189982</v>
      </c>
      <c r="AK566" s="16">
        <f t="shared" si="410"/>
        <v>6.1993800619938009</v>
      </c>
      <c r="AL566" s="16">
        <f t="shared" si="410"/>
        <v>0</v>
      </c>
      <c r="AM566" s="16">
        <f t="shared" si="410"/>
        <v>6.9993000699930016E-2</v>
      </c>
      <c r="AN566" s="16">
        <f t="shared" si="410"/>
        <v>2.8797120287971207</v>
      </c>
      <c r="AO566" s="16">
        <f t="shared" si="410"/>
        <v>1.8298170182981703</v>
      </c>
      <c r="AP566" s="16">
        <f t="shared" si="410"/>
        <v>2.2797720227977201</v>
      </c>
      <c r="AQ566" s="16">
        <f t="shared" si="410"/>
        <v>2.6497350264973507</v>
      </c>
      <c r="AR566" s="16">
        <f t="shared" si="410"/>
        <v>0.23997600239976005</v>
      </c>
      <c r="AS566" s="16">
        <f>SUM(AH566:AR566)</f>
        <v>100</v>
      </c>
      <c r="AT566" s="16">
        <f>AL566+0.899*AK566</f>
        <v>5.5732426757324269</v>
      </c>
      <c r="AU566" s="45"/>
      <c r="AV566" s="4"/>
      <c r="AY566" s="39">
        <v>21.84</v>
      </c>
      <c r="BR566" s="39">
        <v>40.880000000000003</v>
      </c>
      <c r="BS566" s="39"/>
      <c r="BT566" s="39">
        <v>226.96</v>
      </c>
      <c r="BV566" s="39">
        <v>14.86</v>
      </c>
      <c r="BW566" s="39"/>
      <c r="CA566" s="39">
        <v>425.36</v>
      </c>
      <c r="CB566" s="39">
        <v>26.94</v>
      </c>
      <c r="CC566" s="39">
        <v>58.71</v>
      </c>
      <c r="CD566" s="39">
        <v>6.41</v>
      </c>
      <c r="CE566" s="39">
        <v>26.33</v>
      </c>
      <c r="CF566" s="39">
        <v>5.61</v>
      </c>
      <c r="CG566" s="39">
        <v>1.1200000000000001</v>
      </c>
      <c r="CH566" s="39">
        <v>6.48</v>
      </c>
      <c r="CI566" s="39">
        <v>1.01</v>
      </c>
      <c r="CJ566" s="39">
        <v>6.26</v>
      </c>
      <c r="CK566" s="39">
        <v>1.33</v>
      </c>
      <c r="CL566" s="39">
        <v>3.79</v>
      </c>
      <c r="CM566" s="39">
        <v>0.62</v>
      </c>
      <c r="CN566" s="39">
        <v>3.55</v>
      </c>
      <c r="CO566" s="39">
        <v>0.56000000000000005</v>
      </c>
      <c r="CP566" s="39">
        <v>5.13</v>
      </c>
      <c r="CQ566" s="39">
        <v>0.76</v>
      </c>
      <c r="CR566" s="39">
        <v>4.6500000000000004</v>
      </c>
      <c r="CS566" s="39">
        <v>7.4</v>
      </c>
      <c r="CT566" s="39">
        <v>1.76</v>
      </c>
    </row>
    <row r="567" spans="1:98">
      <c r="A567" s="1" t="s">
        <v>289</v>
      </c>
      <c r="B567" s="4" t="s">
        <v>290</v>
      </c>
      <c r="C567" s="38" t="s">
        <v>90</v>
      </c>
      <c r="D567" s="63">
        <v>67.22</v>
      </c>
      <c r="E567" s="63">
        <v>2.93</v>
      </c>
      <c r="F567" s="1" t="s">
        <v>309</v>
      </c>
      <c r="G567" s="38" t="s">
        <v>132</v>
      </c>
      <c r="H567" s="37"/>
      <c r="I567" s="64"/>
      <c r="J567" s="1" t="s">
        <v>311</v>
      </c>
      <c r="K567" s="37"/>
      <c r="L567" s="4" t="s">
        <v>423</v>
      </c>
      <c r="M567" s="78" t="s">
        <v>867</v>
      </c>
      <c r="N567" s="78"/>
      <c r="O567" s="16" t="s">
        <v>82</v>
      </c>
      <c r="P567" s="12"/>
      <c r="Q567" s="16"/>
      <c r="R567" s="25"/>
      <c r="S567" s="25"/>
      <c r="T567" s="25"/>
      <c r="U567" s="25"/>
      <c r="V567" s="26"/>
      <c r="W567" s="25"/>
      <c r="X567" s="25"/>
      <c r="Y567" s="25"/>
      <c r="Z567" s="25"/>
      <c r="AA567" s="25"/>
      <c r="AB567" s="25"/>
      <c r="AC567" s="15"/>
      <c r="AD567" s="23"/>
      <c r="AE567" s="23"/>
      <c r="AF567" s="23"/>
      <c r="AG567" s="45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45"/>
      <c r="AV567" s="16"/>
      <c r="AW567" s="15"/>
      <c r="AX567" s="15"/>
      <c r="AY567" s="39">
        <v>51.53</v>
      </c>
      <c r="AZ567" s="39">
        <v>280.19</v>
      </c>
      <c r="BA567" s="39"/>
      <c r="BB567" s="15"/>
      <c r="BC567" s="15"/>
      <c r="BD567" s="39">
        <v>50.5</v>
      </c>
      <c r="BE567" s="39"/>
      <c r="BF567" s="15"/>
      <c r="BG567" s="39">
        <v>132.28</v>
      </c>
      <c r="BH567" s="39">
        <v>140.94999999999999</v>
      </c>
      <c r="BI567" s="39"/>
      <c r="BJ567" s="39">
        <v>79.23</v>
      </c>
      <c r="BK567" s="39"/>
      <c r="BL567" s="39">
        <v>5.26</v>
      </c>
      <c r="BM567" s="39"/>
      <c r="BN567" s="15"/>
      <c r="BO567" s="15"/>
      <c r="BP567" s="15"/>
      <c r="BQ567" s="39">
        <v>111.92</v>
      </c>
      <c r="BR567" s="15"/>
      <c r="BS567" s="39">
        <v>23.42</v>
      </c>
      <c r="BT567" s="15"/>
      <c r="BU567" s="39">
        <v>69.73</v>
      </c>
      <c r="BV567" s="39">
        <v>9.01</v>
      </c>
      <c r="BW567" s="39"/>
      <c r="BX567" s="15"/>
      <c r="BY567" s="15"/>
      <c r="BZ567" s="39">
        <v>0.14000000000000001</v>
      </c>
      <c r="CA567" s="39">
        <v>114.25</v>
      </c>
      <c r="CB567" s="39">
        <v>3.3</v>
      </c>
      <c r="CC567" s="39">
        <v>9.3800000000000008</v>
      </c>
      <c r="CD567" s="39">
        <v>1.32</v>
      </c>
      <c r="CE567" s="39">
        <v>7.87</v>
      </c>
      <c r="CF567" s="39">
        <v>2.57</v>
      </c>
      <c r="CG567" s="39">
        <v>0.88</v>
      </c>
      <c r="CH567" s="39">
        <v>3.03</v>
      </c>
      <c r="CI567" s="39">
        <v>0.59</v>
      </c>
      <c r="CJ567" s="39">
        <v>3.63</v>
      </c>
      <c r="CK567" s="39">
        <v>0.79</v>
      </c>
      <c r="CL567" s="39">
        <v>2.27</v>
      </c>
      <c r="CM567" s="39">
        <v>0.41</v>
      </c>
      <c r="CN567" s="39">
        <v>2.1</v>
      </c>
      <c r="CO567" s="39">
        <v>0.32</v>
      </c>
      <c r="CP567" s="39">
        <v>1.9</v>
      </c>
      <c r="CQ567" s="39">
        <v>0.86</v>
      </c>
      <c r="CR567" s="39" t="s">
        <v>89</v>
      </c>
      <c r="CS567" s="39">
        <v>0.26</v>
      </c>
      <c r="CT567" s="39">
        <v>0.05</v>
      </c>
    </row>
    <row r="568" spans="1:98">
      <c r="A568" s="1" t="s">
        <v>289</v>
      </c>
      <c r="B568" s="4" t="s">
        <v>290</v>
      </c>
      <c r="C568" s="38" t="s">
        <v>91</v>
      </c>
      <c r="D568" s="63">
        <v>67.22</v>
      </c>
      <c r="E568" s="63">
        <v>2.93</v>
      </c>
      <c r="F568" s="1" t="s">
        <v>309</v>
      </c>
      <c r="G568" s="38" t="s">
        <v>132</v>
      </c>
      <c r="H568" s="37"/>
      <c r="I568" s="64"/>
      <c r="J568" s="1" t="s">
        <v>311</v>
      </c>
      <c r="K568" s="37"/>
      <c r="L568" s="4" t="s">
        <v>423</v>
      </c>
      <c r="M568" s="78" t="s">
        <v>867</v>
      </c>
      <c r="N568" s="78"/>
      <c r="O568" s="16" t="s">
        <v>82</v>
      </c>
      <c r="P568" s="12"/>
      <c r="Q568" s="16"/>
      <c r="R568" s="25"/>
      <c r="S568" s="25"/>
      <c r="T568" s="25"/>
      <c r="U568" s="25"/>
      <c r="V568" s="26"/>
      <c r="W568" s="25"/>
      <c r="X568" s="25"/>
      <c r="Y568" s="25"/>
      <c r="Z568" s="25"/>
      <c r="AA568" s="25"/>
      <c r="AB568" s="25"/>
      <c r="AC568" s="15"/>
      <c r="AD568" s="23"/>
      <c r="AE568" s="23"/>
      <c r="AF568" s="23"/>
      <c r="AG568" s="45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45"/>
      <c r="AV568" s="16"/>
      <c r="AW568" s="15"/>
      <c r="AX568" s="15"/>
      <c r="AY568" s="39">
        <v>45.69</v>
      </c>
      <c r="AZ568" s="39">
        <v>277.85000000000002</v>
      </c>
      <c r="BA568" s="39"/>
      <c r="BB568" s="15"/>
      <c r="BC568" s="15"/>
      <c r="BD568" s="39">
        <v>144.91</v>
      </c>
      <c r="BE568" s="39"/>
      <c r="BF568" s="15"/>
      <c r="BG568" s="39">
        <v>480.95</v>
      </c>
      <c r="BH568" s="39">
        <v>120.03</v>
      </c>
      <c r="BI568" s="39"/>
      <c r="BJ568" s="39">
        <v>53.36</v>
      </c>
      <c r="BK568" s="39"/>
      <c r="BL568" s="39">
        <v>4.1500000000000004</v>
      </c>
      <c r="BM568" s="39"/>
      <c r="BN568" s="15"/>
      <c r="BO568" s="15"/>
      <c r="BP568" s="15"/>
      <c r="BQ568" s="39">
        <v>103.68</v>
      </c>
      <c r="BR568" s="15"/>
      <c r="BS568" s="39">
        <v>22.72</v>
      </c>
      <c r="BT568" s="15"/>
      <c r="BU568" s="39">
        <v>61.49</v>
      </c>
      <c r="BV568" s="39">
        <v>2.0299999999999998</v>
      </c>
      <c r="BW568" s="39"/>
      <c r="BX568" s="15"/>
      <c r="BY568" s="15"/>
      <c r="BZ568" s="39">
        <v>0.14000000000000001</v>
      </c>
      <c r="CA568" s="39">
        <v>55.65</v>
      </c>
      <c r="CB568" s="39">
        <v>3.18</v>
      </c>
      <c r="CC568" s="39">
        <v>8.9499999999999993</v>
      </c>
      <c r="CD568" s="39">
        <v>1.28</v>
      </c>
      <c r="CE568" s="39">
        <v>7.57</v>
      </c>
      <c r="CF568" s="39">
        <v>2.21</v>
      </c>
      <c r="CG568" s="39">
        <v>0.8</v>
      </c>
      <c r="CH568" s="39">
        <v>2.72</v>
      </c>
      <c r="CI568" s="39">
        <v>0.52</v>
      </c>
      <c r="CJ568" s="39">
        <v>3.35</v>
      </c>
      <c r="CK568" s="39">
        <v>0.73</v>
      </c>
      <c r="CL568" s="39">
        <v>2.06</v>
      </c>
      <c r="CM568" s="39">
        <v>0.36</v>
      </c>
      <c r="CN568" s="39">
        <v>2</v>
      </c>
      <c r="CO568" s="39">
        <v>0.31</v>
      </c>
      <c r="CP568" s="39">
        <v>1.53</v>
      </c>
      <c r="CQ568" s="39">
        <v>0.13</v>
      </c>
      <c r="CR568" s="39" t="s">
        <v>89</v>
      </c>
      <c r="CS568" s="39" t="s">
        <v>89</v>
      </c>
      <c r="CT568" s="39" t="s">
        <v>89</v>
      </c>
    </row>
    <row r="569" spans="1:98">
      <c r="A569" s="1" t="s">
        <v>289</v>
      </c>
      <c r="B569" s="4" t="s">
        <v>290</v>
      </c>
      <c r="C569" s="38" t="s">
        <v>100</v>
      </c>
      <c r="D569" s="63">
        <v>67.22</v>
      </c>
      <c r="E569" s="63">
        <v>2.93</v>
      </c>
      <c r="F569" s="1" t="s">
        <v>309</v>
      </c>
      <c r="G569" s="38" t="s">
        <v>101</v>
      </c>
      <c r="H569" s="38"/>
      <c r="I569" s="39"/>
      <c r="J569" s="1" t="s">
        <v>311</v>
      </c>
      <c r="K569" s="37"/>
      <c r="L569" s="4" t="s">
        <v>423</v>
      </c>
      <c r="M569" s="78" t="s">
        <v>867</v>
      </c>
      <c r="N569" s="78"/>
      <c r="O569" s="16" t="s">
        <v>82</v>
      </c>
      <c r="P569" s="12"/>
      <c r="Q569" s="16"/>
      <c r="R569" s="25"/>
      <c r="S569" s="25"/>
      <c r="T569" s="25"/>
      <c r="U569" s="25"/>
      <c r="V569" s="26"/>
      <c r="W569" s="25"/>
      <c r="X569" s="25"/>
      <c r="Y569" s="25"/>
      <c r="Z569" s="25"/>
      <c r="AA569" s="25"/>
      <c r="AB569" s="25"/>
      <c r="AC569" s="15"/>
      <c r="AD569" s="23"/>
      <c r="AE569" s="23"/>
      <c r="AF569" s="23"/>
      <c r="AG569" s="45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45"/>
      <c r="AV569" s="16"/>
      <c r="AW569" s="15"/>
      <c r="AX569" s="15"/>
      <c r="AY569" s="39">
        <v>9.42</v>
      </c>
      <c r="AZ569" s="39">
        <v>101.05</v>
      </c>
      <c r="BA569" s="39"/>
      <c r="BB569" s="15"/>
      <c r="BC569" s="15"/>
      <c r="BD569" s="39" t="s">
        <v>89</v>
      </c>
      <c r="BE569" s="39"/>
      <c r="BF569" s="15"/>
      <c r="BG569" s="39">
        <v>29.52</v>
      </c>
      <c r="BH569" s="39">
        <v>20.03</v>
      </c>
      <c r="BI569" s="39"/>
      <c r="BJ569" s="39">
        <v>35.65</v>
      </c>
      <c r="BK569" s="39"/>
      <c r="BL569" s="39">
        <v>5.67</v>
      </c>
      <c r="BM569" s="39"/>
      <c r="BN569" s="15"/>
      <c r="BO569" s="15"/>
      <c r="BP569" s="15"/>
      <c r="BQ569" s="39">
        <v>40.17</v>
      </c>
      <c r="BR569" s="15"/>
      <c r="BS569" s="39">
        <v>29.21</v>
      </c>
      <c r="BT569" s="15"/>
      <c r="BU569" s="39">
        <v>135.87</v>
      </c>
      <c r="BV569" s="39">
        <v>16.03</v>
      </c>
      <c r="BW569" s="39"/>
      <c r="BX569" s="15"/>
      <c r="BY569" s="15"/>
      <c r="BZ569" s="39">
        <v>3.44</v>
      </c>
      <c r="CA569" s="39">
        <v>271.93</v>
      </c>
      <c r="CB569" s="39">
        <v>24.77</v>
      </c>
      <c r="CC569" s="39">
        <v>54.6</v>
      </c>
      <c r="CD569" s="39">
        <v>5.77</v>
      </c>
      <c r="CE569" s="39">
        <v>25.23</v>
      </c>
      <c r="CF569" s="39">
        <v>4.37</v>
      </c>
      <c r="CG569" s="39">
        <v>0.86</v>
      </c>
      <c r="CH569" s="39">
        <v>3.93</v>
      </c>
      <c r="CI569" s="39">
        <v>0.66</v>
      </c>
      <c r="CJ569" s="39">
        <v>3.77</v>
      </c>
      <c r="CK569" s="39">
        <v>0.78</v>
      </c>
      <c r="CL569" s="39">
        <v>2.13</v>
      </c>
      <c r="CM569" s="39">
        <v>0.39</v>
      </c>
      <c r="CN569" s="39">
        <v>1.88</v>
      </c>
      <c r="CO569" s="39">
        <v>0.28999999999999998</v>
      </c>
      <c r="CP569" s="39">
        <v>3.23</v>
      </c>
      <c r="CQ569" s="39">
        <v>0.67</v>
      </c>
      <c r="CR569" s="39">
        <v>13.09</v>
      </c>
      <c r="CS569" s="39">
        <v>5.91</v>
      </c>
      <c r="CT569" s="39">
        <v>1.77</v>
      </c>
    </row>
    <row r="570" spans="1:98">
      <c r="A570" s="1" t="s">
        <v>289</v>
      </c>
      <c r="B570" s="4" t="s">
        <v>290</v>
      </c>
      <c r="C570" s="38" t="s">
        <v>104</v>
      </c>
      <c r="D570" s="63">
        <v>67.22</v>
      </c>
      <c r="E570" s="63">
        <v>2.93</v>
      </c>
      <c r="F570" s="1" t="s">
        <v>309</v>
      </c>
      <c r="G570" s="38" t="s">
        <v>105</v>
      </c>
      <c r="H570" s="38"/>
      <c r="I570" s="39"/>
      <c r="J570" s="1" t="s">
        <v>311</v>
      </c>
      <c r="K570" s="37"/>
      <c r="L570" s="4" t="s">
        <v>423</v>
      </c>
      <c r="M570" s="78" t="s">
        <v>867</v>
      </c>
      <c r="N570" s="78"/>
      <c r="O570" s="16" t="s">
        <v>82</v>
      </c>
      <c r="P570" s="12"/>
      <c r="Q570" s="16"/>
      <c r="R570" s="25"/>
      <c r="S570" s="25"/>
      <c r="T570" s="25"/>
      <c r="U570" s="25"/>
      <c r="V570" s="26"/>
      <c r="W570" s="25"/>
      <c r="X570" s="25"/>
      <c r="Y570" s="25"/>
      <c r="Z570" s="25"/>
      <c r="AA570" s="25"/>
      <c r="AB570" s="25"/>
      <c r="AC570" s="15"/>
      <c r="AD570" s="23"/>
      <c r="AE570" s="23"/>
      <c r="AF570" s="23"/>
      <c r="AG570" s="45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45"/>
      <c r="AV570" s="16"/>
      <c r="AW570" s="15"/>
      <c r="AX570" s="15"/>
      <c r="AY570" s="39">
        <v>48.95</v>
      </c>
      <c r="AZ570" s="39">
        <v>155.79</v>
      </c>
      <c r="BA570" s="39"/>
      <c r="BB570" s="15"/>
      <c r="BC570" s="15"/>
      <c r="BD570" s="39">
        <v>42.86</v>
      </c>
      <c r="BE570" s="39"/>
      <c r="BF570" s="15"/>
      <c r="BG570" s="39" t="s">
        <v>89</v>
      </c>
      <c r="BH570" s="39">
        <v>17.63</v>
      </c>
      <c r="BI570" s="39"/>
      <c r="BJ570" s="39">
        <v>59.86</v>
      </c>
      <c r="BK570" s="39"/>
      <c r="BL570" s="39">
        <v>10.84</v>
      </c>
      <c r="BM570" s="39"/>
      <c r="BN570" s="15"/>
      <c r="BO570" s="15"/>
      <c r="BP570" s="15"/>
      <c r="BQ570" s="39">
        <v>145.43</v>
      </c>
      <c r="BR570" s="15"/>
      <c r="BS570" s="39">
        <v>53.83</v>
      </c>
      <c r="BT570" s="15"/>
      <c r="BU570" s="39">
        <v>248.7</v>
      </c>
      <c r="BV570" s="39">
        <v>16.87</v>
      </c>
      <c r="BW570" s="39"/>
      <c r="BX570" s="15"/>
      <c r="BY570" s="15"/>
      <c r="BZ570" s="39">
        <v>1.08</v>
      </c>
      <c r="CA570" s="39">
        <v>367.34</v>
      </c>
      <c r="CB570" s="39">
        <v>26.33</v>
      </c>
      <c r="CC570" s="39">
        <v>60.28</v>
      </c>
      <c r="CD570" s="39">
        <v>6.13</v>
      </c>
      <c r="CE570" s="39">
        <v>27.78</v>
      </c>
      <c r="CF570" s="39">
        <v>6</v>
      </c>
      <c r="CG570" s="39">
        <v>1.27</v>
      </c>
      <c r="CH570" s="39">
        <v>6.42</v>
      </c>
      <c r="CI570" s="39">
        <v>1.18</v>
      </c>
      <c r="CJ570" s="39">
        <v>7.14</v>
      </c>
      <c r="CK570" s="39">
        <v>1.55</v>
      </c>
      <c r="CL570" s="39">
        <v>4.4800000000000004</v>
      </c>
      <c r="CM570" s="39">
        <v>0.86</v>
      </c>
      <c r="CN570" s="39">
        <v>4.51</v>
      </c>
      <c r="CO570" s="39">
        <v>0.7</v>
      </c>
      <c r="CP570" s="39">
        <v>5.24</v>
      </c>
      <c r="CQ570" s="39">
        <v>1.33</v>
      </c>
      <c r="CR570" s="39">
        <v>10.46</v>
      </c>
      <c r="CS570" s="39">
        <v>7.54</v>
      </c>
      <c r="CT570" s="39">
        <v>1.62</v>
      </c>
    </row>
    <row r="571" spans="1:98">
      <c r="A571" s="1" t="s">
        <v>289</v>
      </c>
      <c r="B571" s="4" t="s">
        <v>290</v>
      </c>
      <c r="C571" s="38" t="s">
        <v>106</v>
      </c>
      <c r="D571" s="63">
        <v>67.22</v>
      </c>
      <c r="E571" s="63">
        <v>2.93</v>
      </c>
      <c r="F571" s="1" t="s">
        <v>309</v>
      </c>
      <c r="G571" s="38" t="s">
        <v>105</v>
      </c>
      <c r="H571" s="38"/>
      <c r="I571" s="39"/>
      <c r="J571" s="1" t="s">
        <v>311</v>
      </c>
      <c r="K571" s="37"/>
      <c r="L571" s="4" t="s">
        <v>423</v>
      </c>
      <c r="M571" s="78" t="s">
        <v>867</v>
      </c>
      <c r="N571" s="78"/>
      <c r="O571" s="16" t="s">
        <v>82</v>
      </c>
      <c r="P571" s="12"/>
      <c r="Q571" s="16"/>
      <c r="R571" s="25"/>
      <c r="S571" s="25"/>
      <c r="T571" s="25"/>
      <c r="U571" s="25"/>
      <c r="V571" s="26"/>
      <c r="W571" s="25"/>
      <c r="X571" s="25"/>
      <c r="Y571" s="25"/>
      <c r="Z571" s="25"/>
      <c r="AA571" s="25"/>
      <c r="AB571" s="25"/>
      <c r="AC571" s="15"/>
      <c r="AD571" s="23"/>
      <c r="AE571" s="23"/>
      <c r="AF571" s="23"/>
      <c r="AG571" s="45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45"/>
      <c r="AV571" s="16"/>
      <c r="AW571" s="15"/>
      <c r="AX571" s="15"/>
      <c r="AY571" s="39">
        <v>40.840000000000003</v>
      </c>
      <c r="AZ571" s="39">
        <v>441.62</v>
      </c>
      <c r="BA571" s="39"/>
      <c r="BB571" s="15"/>
      <c r="BC571" s="15"/>
      <c r="BD571" s="39">
        <v>109.19</v>
      </c>
      <c r="BE571" s="39"/>
      <c r="BF571" s="15"/>
      <c r="BG571" s="39">
        <v>9.19</v>
      </c>
      <c r="BH571" s="39">
        <v>18.78</v>
      </c>
      <c r="BI571" s="39"/>
      <c r="BJ571" s="39">
        <v>102.54</v>
      </c>
      <c r="BK571" s="39"/>
      <c r="BL571" s="39">
        <v>16.12</v>
      </c>
      <c r="BM571" s="39"/>
      <c r="BN571" s="15"/>
      <c r="BO571" s="15"/>
      <c r="BP571" s="15"/>
      <c r="BQ571" s="39">
        <v>381.32</v>
      </c>
      <c r="BR571" s="15"/>
      <c r="BS571" s="39">
        <v>44.48</v>
      </c>
      <c r="BT571" s="15"/>
      <c r="BU571" s="39">
        <v>208.02</v>
      </c>
      <c r="BV571" s="39">
        <v>14.52</v>
      </c>
      <c r="BW571" s="39"/>
      <c r="BX571" s="15"/>
      <c r="BY571" s="15"/>
      <c r="BZ571" s="39">
        <v>1.19</v>
      </c>
      <c r="CA571" s="39">
        <v>687.78</v>
      </c>
      <c r="CB571" s="39">
        <v>25.35</v>
      </c>
      <c r="CC571" s="39">
        <v>54.13</v>
      </c>
      <c r="CD571" s="39">
        <v>6.18</v>
      </c>
      <c r="CE571" s="39">
        <v>29.42</v>
      </c>
      <c r="CF571" s="39">
        <v>6.64</v>
      </c>
      <c r="CG571" s="39">
        <v>2.02</v>
      </c>
      <c r="CH571" s="39">
        <v>6.52</v>
      </c>
      <c r="CI571" s="39">
        <v>1.1000000000000001</v>
      </c>
      <c r="CJ571" s="39">
        <v>6.37</v>
      </c>
      <c r="CK571" s="39">
        <v>1.3</v>
      </c>
      <c r="CL571" s="39">
        <v>3.66</v>
      </c>
      <c r="CM571" s="39">
        <v>0.65</v>
      </c>
      <c r="CN571" s="39">
        <v>3.36</v>
      </c>
      <c r="CO571" s="39">
        <v>0.53</v>
      </c>
      <c r="CP571" s="39">
        <v>4.63</v>
      </c>
      <c r="CQ571" s="39">
        <v>1.03</v>
      </c>
      <c r="CR571" s="39">
        <v>10.71</v>
      </c>
      <c r="CS571" s="39">
        <v>6.99</v>
      </c>
      <c r="CT571" s="39">
        <v>1.64</v>
      </c>
    </row>
    <row r="572" spans="1:98">
      <c r="A572" s="1" t="s">
        <v>289</v>
      </c>
      <c r="B572" s="4" t="s">
        <v>290</v>
      </c>
      <c r="C572" s="38" t="s">
        <v>107</v>
      </c>
      <c r="D572" s="63">
        <v>67.22</v>
      </c>
      <c r="E572" s="63">
        <v>2.93</v>
      </c>
      <c r="F572" s="1" t="s">
        <v>309</v>
      </c>
      <c r="G572" s="38" t="s">
        <v>105</v>
      </c>
      <c r="H572" s="38"/>
      <c r="I572" s="39"/>
      <c r="J572" s="1" t="s">
        <v>311</v>
      </c>
      <c r="K572" s="37"/>
      <c r="L572" s="4" t="s">
        <v>423</v>
      </c>
      <c r="M572" s="78" t="s">
        <v>867</v>
      </c>
      <c r="N572" s="78"/>
      <c r="O572" s="16" t="s">
        <v>82</v>
      </c>
      <c r="P572" s="12"/>
      <c r="Q572" s="16"/>
      <c r="R572" s="25"/>
      <c r="S572" s="25"/>
      <c r="T572" s="25"/>
      <c r="U572" s="25"/>
      <c r="V572" s="26"/>
      <c r="W572" s="25"/>
      <c r="X572" s="25"/>
      <c r="Y572" s="25"/>
      <c r="Z572" s="25"/>
      <c r="AA572" s="25"/>
      <c r="AB572" s="25"/>
      <c r="AC572" s="15"/>
      <c r="AD572" s="23"/>
      <c r="AE572" s="23"/>
      <c r="AF572" s="23"/>
      <c r="AG572" s="45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45"/>
      <c r="AV572" s="16"/>
      <c r="AW572" s="15"/>
      <c r="AX572" s="15"/>
      <c r="AY572" s="39">
        <v>56.3</v>
      </c>
      <c r="AZ572" s="39">
        <v>207.55</v>
      </c>
      <c r="BA572" s="39"/>
      <c r="BB572" s="15"/>
      <c r="BC572" s="15"/>
      <c r="BD572" s="39">
        <v>31.2</v>
      </c>
      <c r="BE572" s="39"/>
      <c r="BF572" s="15"/>
      <c r="BG572" s="39">
        <v>9.39</v>
      </c>
      <c r="BH572" s="39">
        <v>15.87</v>
      </c>
      <c r="BI572" s="39"/>
      <c r="BJ572" s="39">
        <v>108.47</v>
      </c>
      <c r="BK572" s="39"/>
      <c r="BL572" s="39">
        <v>9.7100000000000009</v>
      </c>
      <c r="BM572" s="39"/>
      <c r="BN572" s="15"/>
      <c r="BO572" s="15"/>
      <c r="BP572" s="15"/>
      <c r="BQ572" s="39">
        <v>126.18</v>
      </c>
      <c r="BR572" s="15"/>
      <c r="BS572" s="39">
        <v>34.119999999999997</v>
      </c>
      <c r="BT572" s="15"/>
      <c r="BU572" s="39">
        <v>121.42</v>
      </c>
      <c r="BV572" s="39">
        <v>7.88</v>
      </c>
      <c r="BW572" s="39"/>
      <c r="BX572" s="15"/>
      <c r="BY572" s="15"/>
      <c r="BZ572" s="39">
        <v>0.46</v>
      </c>
      <c r="CA572" s="39">
        <v>385.89</v>
      </c>
      <c r="CB572" s="39">
        <v>19.13</v>
      </c>
      <c r="CC572" s="39">
        <v>42.48</v>
      </c>
      <c r="CD572" s="39">
        <v>4.3</v>
      </c>
      <c r="CE572" s="39">
        <v>19.649999999999999</v>
      </c>
      <c r="CF572" s="39">
        <v>4.6100000000000003</v>
      </c>
      <c r="CG572" s="39">
        <v>1.0900000000000001</v>
      </c>
      <c r="CH572" s="39">
        <v>4.67</v>
      </c>
      <c r="CI572" s="39">
        <v>0.86</v>
      </c>
      <c r="CJ572" s="39">
        <v>5.1100000000000003</v>
      </c>
      <c r="CK572" s="39">
        <v>1.1499999999999999</v>
      </c>
      <c r="CL572" s="39">
        <v>3.37</v>
      </c>
      <c r="CM572" s="39">
        <v>0.63</v>
      </c>
      <c r="CN572" s="39">
        <v>3.21</v>
      </c>
      <c r="CO572" s="39">
        <v>0.51</v>
      </c>
      <c r="CP572" s="39">
        <v>3.28</v>
      </c>
      <c r="CQ572" s="39">
        <v>0.52</v>
      </c>
      <c r="CR572" s="39">
        <v>5.28</v>
      </c>
      <c r="CS572" s="39">
        <v>3.49</v>
      </c>
      <c r="CT572" s="39">
        <v>0.74</v>
      </c>
    </row>
    <row r="573" spans="1:98">
      <c r="A573" s="1" t="s">
        <v>289</v>
      </c>
      <c r="B573" s="4" t="s">
        <v>290</v>
      </c>
      <c r="C573" s="38" t="s">
        <v>108</v>
      </c>
      <c r="D573" s="63">
        <v>67.22</v>
      </c>
      <c r="E573" s="63">
        <v>2.93</v>
      </c>
      <c r="F573" s="1" t="s">
        <v>309</v>
      </c>
      <c r="G573" s="38" t="s">
        <v>105</v>
      </c>
      <c r="H573" s="38"/>
      <c r="I573" s="39"/>
      <c r="J573" s="1" t="s">
        <v>311</v>
      </c>
      <c r="K573" s="37"/>
      <c r="L573" s="4" t="s">
        <v>423</v>
      </c>
      <c r="M573" s="78" t="s">
        <v>867</v>
      </c>
      <c r="N573" s="78"/>
      <c r="O573" s="16" t="s">
        <v>82</v>
      </c>
      <c r="P573" s="12"/>
      <c r="Q573" s="16"/>
      <c r="R573" s="25"/>
      <c r="S573" s="25"/>
      <c r="T573" s="25"/>
      <c r="U573" s="25"/>
      <c r="V573" s="26"/>
      <c r="W573" s="25"/>
      <c r="X573" s="25"/>
      <c r="Y573" s="25"/>
      <c r="Z573" s="25"/>
      <c r="AA573" s="25"/>
      <c r="AB573" s="25"/>
      <c r="AC573" s="15"/>
      <c r="AD573" s="23"/>
      <c r="AE573" s="23"/>
      <c r="AF573" s="23"/>
      <c r="AG573" s="45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45"/>
      <c r="AV573" s="16"/>
      <c r="AW573" s="15"/>
      <c r="AX573" s="15"/>
      <c r="AY573" s="39">
        <v>11.84</v>
      </c>
      <c r="AZ573" s="39">
        <v>53.91</v>
      </c>
      <c r="BA573" s="39"/>
      <c r="BB573" s="15"/>
      <c r="BC573" s="15"/>
      <c r="BD573" s="39" t="s">
        <v>89</v>
      </c>
      <c r="BE573" s="39"/>
      <c r="BF573" s="15"/>
      <c r="BG573" s="39" t="s">
        <v>89</v>
      </c>
      <c r="BH573" s="39">
        <v>9.1</v>
      </c>
      <c r="BI573" s="39"/>
      <c r="BJ573" s="39">
        <v>72.150000000000006</v>
      </c>
      <c r="BK573" s="39"/>
      <c r="BL573" s="39">
        <v>6.07</v>
      </c>
      <c r="BM573" s="39"/>
      <c r="BN573" s="15"/>
      <c r="BO573" s="15"/>
      <c r="BP573" s="15"/>
      <c r="BQ573" s="39">
        <v>96.97</v>
      </c>
      <c r="BR573" s="15"/>
      <c r="BS573" s="39">
        <v>36.76</v>
      </c>
      <c r="BT573" s="15"/>
      <c r="BU573" s="39">
        <v>143.19</v>
      </c>
      <c r="BV573" s="39">
        <v>12.3</v>
      </c>
      <c r="BW573" s="39"/>
      <c r="BX573" s="15"/>
      <c r="BY573" s="15"/>
      <c r="BZ573" s="39">
        <v>3.19</v>
      </c>
      <c r="CA573" s="39">
        <v>407.81</v>
      </c>
      <c r="CB573" s="39">
        <v>28.19</v>
      </c>
      <c r="CC573" s="39">
        <v>59.81</v>
      </c>
      <c r="CD573" s="39">
        <v>6.14</v>
      </c>
      <c r="CE573" s="39">
        <v>27.69</v>
      </c>
      <c r="CF573" s="39">
        <v>5.0999999999999996</v>
      </c>
      <c r="CG573" s="39">
        <v>0.96</v>
      </c>
      <c r="CH573" s="39">
        <v>5.08</v>
      </c>
      <c r="CI573" s="39">
        <v>0.9</v>
      </c>
      <c r="CJ573" s="39">
        <v>5.36</v>
      </c>
      <c r="CK573" s="39">
        <v>1.1499999999999999</v>
      </c>
      <c r="CL573" s="39">
        <v>3.29</v>
      </c>
      <c r="CM573" s="39">
        <v>0.6</v>
      </c>
      <c r="CN573" s="39">
        <v>3.11</v>
      </c>
      <c r="CO573" s="39">
        <v>0.49</v>
      </c>
      <c r="CP573" s="39">
        <v>3.61</v>
      </c>
      <c r="CQ573" s="39">
        <v>0.89</v>
      </c>
      <c r="CR573" s="39">
        <v>2.5099999999999998</v>
      </c>
      <c r="CS573" s="39">
        <v>5.87</v>
      </c>
      <c r="CT573" s="39">
        <v>1.54</v>
      </c>
    </row>
    <row r="574" spans="1:98">
      <c r="A574" s="56" t="s">
        <v>646</v>
      </c>
      <c r="B574" s="46"/>
      <c r="C574" s="4"/>
      <c r="J574" s="38"/>
      <c r="L574" s="4"/>
      <c r="M574" s="4"/>
      <c r="N574" s="4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  <c r="AF574" s="23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Y574" s="46"/>
      <c r="AZ574" s="41"/>
      <c r="BA574" s="48"/>
      <c r="BB574" s="41"/>
      <c r="BC574" s="48"/>
      <c r="BD574" s="41"/>
      <c r="BE574" s="48"/>
      <c r="BF574" s="41"/>
      <c r="BG574" s="48"/>
      <c r="BH574" s="41"/>
      <c r="BI574" s="48"/>
      <c r="BJ574" s="41"/>
      <c r="BK574" s="48"/>
      <c r="BL574" s="41"/>
      <c r="BM574" s="41"/>
      <c r="BN574" s="41"/>
      <c r="BO574" s="48"/>
      <c r="BP574" s="41"/>
      <c r="BQ574" s="48"/>
      <c r="BR574" s="46"/>
      <c r="BS574" s="48"/>
      <c r="BT574" s="41"/>
      <c r="BU574" s="48"/>
      <c r="BV574" s="41"/>
      <c r="BW574" s="48"/>
      <c r="CA574" s="46"/>
      <c r="CB574" s="46"/>
      <c r="CC574" s="46"/>
      <c r="CD574" s="46"/>
      <c r="CE574" s="46"/>
      <c r="CF574" s="46"/>
      <c r="CG574" s="46"/>
      <c r="CH574" s="46"/>
      <c r="CI574" s="46"/>
      <c r="CJ574" s="46"/>
      <c r="CK574" s="46"/>
      <c r="CL574" s="46"/>
      <c r="CM574" s="46"/>
      <c r="CN574" s="46"/>
      <c r="CO574" s="46"/>
      <c r="CP574" s="46"/>
      <c r="CQ574" s="46"/>
      <c r="CR574" s="46"/>
      <c r="CS574" s="46"/>
      <c r="CT574" s="46"/>
    </row>
    <row r="575" spans="1:98">
      <c r="A575" s="1" t="s">
        <v>251</v>
      </c>
      <c r="B575" s="13">
        <v>338</v>
      </c>
      <c r="C575" s="46" t="s">
        <v>487</v>
      </c>
      <c r="D575" s="63">
        <v>67.785200000000003</v>
      </c>
      <c r="E575" s="63">
        <v>5.3876999999999997</v>
      </c>
      <c r="J575" s="38" t="s">
        <v>256</v>
      </c>
      <c r="L575" s="1" t="s">
        <v>512</v>
      </c>
      <c r="M575" s="78" t="s">
        <v>869</v>
      </c>
      <c r="N575" s="78"/>
      <c r="O575" s="46"/>
      <c r="R575" s="47">
        <v>47.02507422261575</v>
      </c>
      <c r="S575" s="47">
        <v>1.3791551643314757</v>
      </c>
      <c r="T575" s="47">
        <v>17.887848325433612</v>
      </c>
      <c r="U575" s="47"/>
      <c r="V575" s="47">
        <v>9.854784103338714</v>
      </c>
      <c r="W575" s="47">
        <v>0.23672066253450699</v>
      </c>
      <c r="X575" s="47">
        <v>8.9748007708734825</v>
      </c>
      <c r="Y575" s="47">
        <v>10.714183030366163</v>
      </c>
      <c r="Z575" s="47">
        <v>2.7377259232251681</v>
      </c>
      <c r="AA575" s="47">
        <v>0.38081150059898949</v>
      </c>
      <c r="AB575" s="47">
        <v>0.10292202718891609</v>
      </c>
      <c r="AC575" s="9">
        <v>2.2000000000000002</v>
      </c>
      <c r="AD575" s="23">
        <f>SUM(R575:AB575)+AC575</f>
        <v>101.49402573050679</v>
      </c>
      <c r="AE575" s="21">
        <f>V575+0.899*U575</f>
        <v>9.854784103338714</v>
      </c>
      <c r="AF575" s="23">
        <f>(X575/40.3)/((X575/40.3)+(AE575/71.844))</f>
        <v>0.61883570992063253</v>
      </c>
      <c r="AH575" s="16">
        <f t="shared" ref="AH575:AR576" si="411">100*R575/SUM($R575:$AB575)</f>
        <v>47.359419538740596</v>
      </c>
      <c r="AI575" s="16">
        <f t="shared" si="411"/>
        <v>1.3889608706918892</v>
      </c>
      <c r="AJ575" s="16">
        <f t="shared" si="411"/>
        <v>18.01502980046644</v>
      </c>
      <c r="AK575" s="16">
        <f t="shared" si="411"/>
        <v>0</v>
      </c>
      <c r="AL575" s="16">
        <f t="shared" si="411"/>
        <v>9.9248509976677877</v>
      </c>
      <c r="AM575" s="16">
        <f t="shared" si="411"/>
        <v>0.23840373153666752</v>
      </c>
      <c r="AN575" s="16">
        <f t="shared" si="411"/>
        <v>9.0386110391293091</v>
      </c>
      <c r="AO575" s="16">
        <f t="shared" si="411"/>
        <v>10.790360196942213</v>
      </c>
      <c r="AP575" s="16">
        <f t="shared" si="411"/>
        <v>2.7571909821197202</v>
      </c>
      <c r="AQ575" s="16">
        <f t="shared" si="411"/>
        <v>0.38351904638507389</v>
      </c>
      <c r="AR575" s="16">
        <f t="shared" si="411"/>
        <v>0.10365379632029025</v>
      </c>
      <c r="AS575" s="16">
        <f>SUM(AH575:AR575)</f>
        <v>99.999999999999986</v>
      </c>
      <c r="AT575" s="16">
        <f>AL575+0.899*AK575</f>
        <v>9.9248509976677877</v>
      </c>
      <c r="AY575" s="46"/>
      <c r="AZ575" s="41"/>
      <c r="BA575" s="48"/>
      <c r="BB575" s="41"/>
      <c r="BC575" s="48"/>
      <c r="BD575" s="41"/>
      <c r="BE575" s="48"/>
      <c r="BF575" s="41"/>
      <c r="BG575" s="48"/>
      <c r="BH575" s="41"/>
      <c r="BI575" s="48"/>
      <c r="BJ575" s="41"/>
      <c r="BK575" s="48"/>
      <c r="BL575" s="41"/>
      <c r="BM575" s="41"/>
      <c r="BN575" s="41"/>
      <c r="BO575" s="48"/>
      <c r="BP575" s="41"/>
      <c r="BQ575" s="48"/>
      <c r="BR575" s="46"/>
      <c r="BS575" s="48"/>
      <c r="BT575" s="41"/>
      <c r="BU575" s="48"/>
      <c r="BV575" s="41"/>
      <c r="BW575" s="48"/>
      <c r="CA575" s="46"/>
      <c r="CB575" s="49"/>
      <c r="CC575" s="49"/>
      <c r="CD575" s="46"/>
      <c r="CE575" s="49"/>
      <c r="CF575" s="46"/>
      <c r="CG575" s="46"/>
      <c r="CH575" s="46"/>
      <c r="CI575" s="46"/>
      <c r="CJ575" s="46"/>
      <c r="CK575" s="46"/>
      <c r="CL575" s="46"/>
      <c r="CM575" s="46"/>
      <c r="CN575" s="46"/>
      <c r="CO575" s="46"/>
      <c r="CP575" s="46"/>
      <c r="CQ575" s="46"/>
      <c r="CR575" s="46"/>
      <c r="CS575" s="46"/>
      <c r="CT575" s="46"/>
    </row>
    <row r="576" spans="1:98">
      <c r="A576" s="1" t="s">
        <v>251</v>
      </c>
      <c r="B576" s="50">
        <v>338</v>
      </c>
      <c r="C576" s="46" t="s">
        <v>488</v>
      </c>
      <c r="D576" s="63">
        <v>67.785200000000003</v>
      </c>
      <c r="E576" s="63">
        <v>5.3876999999999997</v>
      </c>
      <c r="J576" s="38" t="s">
        <v>256</v>
      </c>
      <c r="L576" s="1" t="s">
        <v>512</v>
      </c>
      <c r="M576" s="78" t="s">
        <v>869</v>
      </c>
      <c r="N576" s="78"/>
      <c r="O576" s="46"/>
      <c r="R576" s="47">
        <v>49.021831647022019</v>
      </c>
      <c r="S576" s="47">
        <v>1.5072598310211747</v>
      </c>
      <c r="T576" s="47">
        <v>15.595525190361951</v>
      </c>
      <c r="U576" s="47"/>
      <c r="V576" s="47">
        <v>12.088839052884113</v>
      </c>
      <c r="W576" s="47">
        <v>0.15380202357358924</v>
      </c>
      <c r="X576" s="47">
        <v>10.243214770001044</v>
      </c>
      <c r="Y576" s="47">
        <v>8.0079586940648806</v>
      </c>
      <c r="Z576" s="47">
        <v>2.7274225513716495</v>
      </c>
      <c r="AA576" s="47">
        <v>0.43064566600604987</v>
      </c>
      <c r="AB576" s="47">
        <v>9.2281214144153537E-2</v>
      </c>
      <c r="AC576" s="9">
        <v>1.76</v>
      </c>
      <c r="AD576" s="23">
        <f>SUM(R576:AB576)+AC576</f>
        <v>101.62878064045061</v>
      </c>
      <c r="AE576" s="21">
        <f>V576+0.899*U576</f>
        <v>12.088839052884113</v>
      </c>
      <c r="AF576" s="23">
        <f>(X576/40.3)/((X576/40.3)+(AE576/71.844))</f>
        <v>0.60168203009751631</v>
      </c>
      <c r="AH576" s="16">
        <f t="shared" si="411"/>
        <v>49.086242299794669</v>
      </c>
      <c r="AI576" s="16">
        <f t="shared" si="411"/>
        <v>1.5092402464065708</v>
      </c>
      <c r="AJ576" s="16">
        <f t="shared" si="411"/>
        <v>15.616016427104725</v>
      </c>
      <c r="AK576" s="16">
        <f t="shared" si="411"/>
        <v>0</v>
      </c>
      <c r="AL576" s="16">
        <f t="shared" si="411"/>
        <v>12.104722792607802</v>
      </c>
      <c r="AM576" s="16">
        <f t="shared" si="411"/>
        <v>0.1540041067761807</v>
      </c>
      <c r="AN576" s="16">
        <f t="shared" si="411"/>
        <v>10.256673511293634</v>
      </c>
      <c r="AO576" s="16">
        <f t="shared" si="411"/>
        <v>8.0184804928131417</v>
      </c>
      <c r="AP576" s="16">
        <f t="shared" si="411"/>
        <v>2.7310061601642714</v>
      </c>
      <c r="AQ576" s="16">
        <f t="shared" si="411"/>
        <v>0.43121149897330596</v>
      </c>
      <c r="AR576" s="16">
        <f t="shared" si="411"/>
        <v>9.2402464065708415E-2</v>
      </c>
      <c r="AS576" s="16">
        <f>SUM(AH576:AR576)</f>
        <v>100.00000000000001</v>
      </c>
      <c r="AT576" s="16">
        <f>AL576+0.899*AK576</f>
        <v>12.104722792607802</v>
      </c>
      <c r="AY576" s="46"/>
      <c r="AZ576" s="41"/>
      <c r="BA576" s="48"/>
      <c r="BB576" s="41"/>
      <c r="BC576" s="48"/>
      <c r="BD576" s="41"/>
      <c r="BE576" s="48"/>
      <c r="BF576" s="41"/>
      <c r="BG576" s="48"/>
      <c r="BH576" s="41"/>
      <c r="BI576" s="48"/>
      <c r="BJ576" s="41"/>
      <c r="BK576" s="48"/>
      <c r="BL576" s="41"/>
      <c r="BM576" s="41"/>
      <c r="BN576" s="41"/>
      <c r="BO576" s="48"/>
      <c r="BP576" s="41"/>
      <c r="BQ576" s="48"/>
      <c r="BR576" s="46"/>
      <c r="BS576" s="48"/>
      <c r="BT576" s="41"/>
      <c r="BU576" s="48"/>
      <c r="BV576" s="41"/>
      <c r="BW576" s="48"/>
      <c r="CA576" s="46"/>
      <c r="CB576" s="49"/>
      <c r="CC576" s="49"/>
      <c r="CD576" s="46"/>
      <c r="CE576" s="49"/>
      <c r="CF576" s="46"/>
      <c r="CG576" s="46"/>
      <c r="CH576" s="46"/>
      <c r="CI576" s="46"/>
      <c r="CJ576" s="46"/>
      <c r="CK576" s="46"/>
      <c r="CL576" s="46"/>
      <c r="CM576" s="46"/>
      <c r="CN576" s="46"/>
      <c r="CO576" s="46"/>
      <c r="CP576" s="46"/>
      <c r="CQ576" s="46"/>
      <c r="CR576" s="46"/>
      <c r="CS576" s="46"/>
      <c r="CT576" s="46"/>
    </row>
    <row r="577" spans="1:98">
      <c r="A577" s="1" t="s">
        <v>251</v>
      </c>
      <c r="B577" s="50">
        <v>338</v>
      </c>
      <c r="C577" s="46" t="s">
        <v>489</v>
      </c>
      <c r="D577" s="63">
        <v>67.785200000000003</v>
      </c>
      <c r="E577" s="63">
        <v>5.3876999999999997</v>
      </c>
      <c r="J577" s="38" t="s">
        <v>256</v>
      </c>
      <c r="L577" s="1" t="s">
        <v>515</v>
      </c>
      <c r="M577" s="78" t="s">
        <v>870</v>
      </c>
      <c r="N577" s="78" t="s">
        <v>871</v>
      </c>
      <c r="O577" s="46"/>
      <c r="R577" s="47">
        <v>49.128671753253322</v>
      </c>
      <c r="S577" s="47">
        <v>1.3813685211794944</v>
      </c>
      <c r="T577" s="47">
        <v>16.846690008297745</v>
      </c>
      <c r="U577" s="47"/>
      <c r="V577" s="47">
        <v>8.8207387019084802</v>
      </c>
      <c r="W577" s="47">
        <v>0.19018841958268404</v>
      </c>
      <c r="X577" s="47">
        <v>7.3773086964441115</v>
      </c>
      <c r="Y577" s="47">
        <v>12.952832365262793</v>
      </c>
      <c r="Z577" s="47">
        <v>2.0920726154095242</v>
      </c>
      <c r="AA577" s="47">
        <v>0.13012891866183643</v>
      </c>
      <c r="AB577" s="47">
        <v>0</v>
      </c>
      <c r="AD577" s="23">
        <f t="shared" ref="AD577:AD584" si="412">SUM(R577:AB577)+AC577</f>
        <v>98.92</v>
      </c>
      <c r="AE577" s="21">
        <f t="shared" ref="AE577:AE584" si="413">V577+0.899*U577</f>
        <v>8.8207387019084802</v>
      </c>
      <c r="AF577" s="23">
        <f t="shared" ref="AF577:AF584" si="414">(X577/40.3)/((X577/40.3)+(AE577/71.844))</f>
        <v>0.59855524762962131</v>
      </c>
      <c r="AH577" s="16">
        <f t="shared" ref="AH577:AH584" si="415">100*R577/SUM($R577:$AB577)</f>
        <v>49.665054340126687</v>
      </c>
      <c r="AI577" s="16">
        <f t="shared" ref="AI577:AI584" si="416">100*S577/SUM($R577:$AB577)</f>
        <v>1.3964501831575964</v>
      </c>
      <c r="AJ577" s="16">
        <f t="shared" ref="AJ577:AJ584" si="417">100*T577/SUM($R577:$AB577)</f>
        <v>17.030620711987208</v>
      </c>
      <c r="AK577" s="16">
        <f t="shared" ref="AK577:AK584" si="418">100*U577/SUM($R577:$AB577)</f>
        <v>0</v>
      </c>
      <c r="AL577" s="16">
        <f t="shared" ref="AL577:AL584" si="419">100*V577/SUM($R577:$AB577)</f>
        <v>8.9170427637570562</v>
      </c>
      <c r="AM577" s="16">
        <f t="shared" ref="AM577:AM584" si="420">100*W577/SUM($R577:$AB577)</f>
        <v>0.19226488028981403</v>
      </c>
      <c r="AN577" s="16">
        <f t="shared" ref="AN577:AN584" si="421">100*X577/SUM($R577:$AB577)</f>
        <v>7.4578535143996278</v>
      </c>
      <c r="AO577" s="16">
        <f t="shared" ref="AO577:AO584" si="422">100*Y577/SUM($R577:$AB577)</f>
        <v>13.094250268158909</v>
      </c>
      <c r="AP577" s="16">
        <f t="shared" ref="AP577:AP584" si="423">100*Z577/SUM($R577:$AB577)</f>
        <v>2.1149136831879538</v>
      </c>
      <c r="AQ577" s="16">
        <f t="shared" ref="AQ577:AQ584" si="424">100*AA577/SUM($R577:$AB577)</f>
        <v>0.1315496549351359</v>
      </c>
      <c r="AR577" s="16">
        <f t="shared" ref="AR577:AR584" si="425">100*AB577/SUM($R577:$AB577)</f>
        <v>0</v>
      </c>
      <c r="AS577" s="16">
        <f t="shared" ref="AS577:AS584" si="426">SUM(AH577:AR577)</f>
        <v>99.999999999999986</v>
      </c>
      <c r="AT577" s="16">
        <f t="shared" ref="AT577:AT584" si="427">AL577+0.899*AK577</f>
        <v>8.9170427637570562</v>
      </c>
      <c r="AY577" s="46">
        <v>41</v>
      </c>
      <c r="AZ577" s="41"/>
      <c r="BA577" s="48"/>
      <c r="BB577" s="41"/>
      <c r="BC577" s="48">
        <v>301</v>
      </c>
      <c r="BD577" s="41"/>
      <c r="BE577" s="48">
        <v>43</v>
      </c>
      <c r="BF577" s="41"/>
      <c r="BG577" s="48"/>
      <c r="BH577" s="41"/>
      <c r="BI577" s="48"/>
      <c r="BJ577" s="41"/>
      <c r="BK577" s="48"/>
      <c r="BL577" s="41"/>
      <c r="BM577" s="41"/>
      <c r="BN577" s="41"/>
      <c r="BO577" s="48">
        <v>3.3</v>
      </c>
      <c r="BP577" s="41"/>
      <c r="BQ577" s="48">
        <v>167</v>
      </c>
      <c r="BR577" s="46"/>
      <c r="BS577" s="48">
        <v>23</v>
      </c>
      <c r="BT577" s="41"/>
      <c r="BU577" s="48">
        <v>62</v>
      </c>
      <c r="BV577" s="41"/>
      <c r="BW577" s="48"/>
      <c r="CA577" s="49"/>
      <c r="CB577" s="49">
        <v>3.8</v>
      </c>
      <c r="CC577" s="49">
        <v>11.6</v>
      </c>
      <c r="CD577" s="46"/>
      <c r="CE577" s="46"/>
      <c r="CF577" s="46">
        <v>2.6</v>
      </c>
      <c r="CG577" s="46">
        <v>1</v>
      </c>
      <c r="CH577" s="46"/>
      <c r="CI577" s="46">
        <v>0.61</v>
      </c>
      <c r="CJ577" s="46"/>
      <c r="CK577" s="46"/>
      <c r="CL577" s="46">
        <v>0.43</v>
      </c>
      <c r="CM577" s="46"/>
      <c r="CN577" s="46">
        <v>2</v>
      </c>
      <c r="CO577" s="46">
        <v>0.31</v>
      </c>
      <c r="CP577" s="46"/>
      <c r="CQ577" s="46"/>
      <c r="CR577" s="49"/>
      <c r="CS577" s="46"/>
      <c r="CT577" s="46"/>
    </row>
    <row r="578" spans="1:98">
      <c r="A578" s="1" t="s">
        <v>251</v>
      </c>
      <c r="B578" s="50">
        <v>338</v>
      </c>
      <c r="C578" s="46" t="s">
        <v>490</v>
      </c>
      <c r="D578" s="63">
        <v>67.785200000000003</v>
      </c>
      <c r="E578" s="63">
        <v>5.3876999999999997</v>
      </c>
      <c r="J578" s="38" t="s">
        <v>256</v>
      </c>
      <c r="L578" s="1" t="s">
        <v>512</v>
      </c>
      <c r="M578" s="78" t="s">
        <v>869</v>
      </c>
      <c r="N578" s="78"/>
      <c r="O578" s="46"/>
      <c r="R578" s="47">
        <v>48.795477975875613</v>
      </c>
      <c r="S578" s="47">
        <v>1.3143906157627805</v>
      </c>
      <c r="T578" s="47">
        <v>17.555775433792796</v>
      </c>
      <c r="U578" s="47"/>
      <c r="V578" s="47">
        <v>9.5237279732827211</v>
      </c>
      <c r="W578" s="47">
        <v>0.15283611811195119</v>
      </c>
      <c r="X578" s="47">
        <v>8.3040957507493491</v>
      </c>
      <c r="Y578" s="47">
        <v>11.228360143958014</v>
      </c>
      <c r="Z578" s="47">
        <v>2.3231089953016579</v>
      </c>
      <c r="AA578" s="47">
        <v>0.14264704357115446</v>
      </c>
      <c r="AB578" s="47">
        <v>0.11207981994876422</v>
      </c>
      <c r="AC578" s="9">
        <v>1.44</v>
      </c>
      <c r="AD578" s="23">
        <f t="shared" si="412"/>
        <v>100.8924998703548</v>
      </c>
      <c r="AE578" s="21">
        <f t="shared" si="413"/>
        <v>9.5237279732827211</v>
      </c>
      <c r="AF578" s="23">
        <f t="shared" si="414"/>
        <v>0.60852304277422231</v>
      </c>
      <c r="AH578" s="16">
        <f t="shared" si="415"/>
        <v>49.064104008933782</v>
      </c>
      <c r="AI578" s="16">
        <f t="shared" si="416"/>
        <v>1.3216265226879222</v>
      </c>
      <c r="AJ578" s="16">
        <f t="shared" si="417"/>
        <v>17.652422469699921</v>
      </c>
      <c r="AK578" s="16">
        <f t="shared" si="418"/>
        <v>0</v>
      </c>
      <c r="AL578" s="16">
        <f t="shared" si="419"/>
        <v>9.5761574477240394</v>
      </c>
      <c r="AM578" s="16">
        <f t="shared" si="420"/>
        <v>0.15367750263813046</v>
      </c>
      <c r="AN578" s="16">
        <f t="shared" si="421"/>
        <v>8.3498109766717565</v>
      </c>
      <c r="AO578" s="16">
        <f t="shared" si="422"/>
        <v>11.290173860481318</v>
      </c>
      <c r="AP578" s="16">
        <f t="shared" si="423"/>
        <v>2.3358980400995826</v>
      </c>
      <c r="AQ578" s="16">
        <f t="shared" si="424"/>
        <v>0.14343233579558845</v>
      </c>
      <c r="AR578" s="16">
        <f t="shared" si="425"/>
        <v>0.11269683526796234</v>
      </c>
      <c r="AS578" s="16">
        <f t="shared" si="426"/>
        <v>100.00000000000003</v>
      </c>
      <c r="AT578" s="16">
        <f t="shared" si="427"/>
        <v>9.5761574477240394</v>
      </c>
      <c r="AY578" s="46"/>
      <c r="AZ578" s="41"/>
      <c r="BA578" s="48"/>
      <c r="BB578" s="41"/>
      <c r="BC578" s="48"/>
      <c r="BD578" s="41"/>
      <c r="BE578" s="48"/>
      <c r="BF578" s="41"/>
      <c r="BG578" s="48"/>
      <c r="BH578" s="41"/>
      <c r="BI578" s="48"/>
      <c r="BJ578" s="41"/>
      <c r="BK578" s="48"/>
      <c r="BL578" s="41"/>
      <c r="BM578" s="41"/>
      <c r="BN578" s="41"/>
      <c r="BO578" s="48"/>
      <c r="BP578" s="41"/>
      <c r="BQ578" s="48"/>
      <c r="BR578" s="46"/>
      <c r="BS578" s="48"/>
      <c r="BT578" s="41"/>
      <c r="BU578" s="48"/>
      <c r="BV578" s="41"/>
      <c r="BW578" s="48"/>
      <c r="CA578" s="46"/>
      <c r="CB578" s="49"/>
      <c r="CC578" s="49"/>
      <c r="CD578" s="46"/>
      <c r="CE578" s="49"/>
      <c r="CF578" s="46"/>
      <c r="CG578" s="46"/>
      <c r="CH578" s="46"/>
      <c r="CI578" s="46"/>
      <c r="CJ578" s="46"/>
      <c r="CK578" s="46"/>
      <c r="CL578" s="46"/>
      <c r="CM578" s="46"/>
      <c r="CN578" s="46"/>
      <c r="CO578" s="46"/>
      <c r="CP578" s="46"/>
      <c r="CQ578" s="46"/>
      <c r="CR578" s="46"/>
      <c r="CS578" s="46"/>
      <c r="CT578" s="46"/>
    </row>
    <row r="579" spans="1:98">
      <c r="A579" s="1" t="s">
        <v>251</v>
      </c>
      <c r="B579" s="50">
        <v>338</v>
      </c>
      <c r="C579" s="46" t="s">
        <v>491</v>
      </c>
      <c r="D579" s="63">
        <v>67.785200000000003</v>
      </c>
      <c r="E579" s="63">
        <v>5.3876999999999997</v>
      </c>
      <c r="J579" s="38" t="s">
        <v>256</v>
      </c>
      <c r="L579" s="1" t="s">
        <v>515</v>
      </c>
      <c r="M579" s="78" t="s">
        <v>870</v>
      </c>
      <c r="N579" s="78" t="s">
        <v>871</v>
      </c>
      <c r="O579" s="46"/>
      <c r="R579" s="47">
        <v>48.671181019474467</v>
      </c>
      <c r="S579" s="47">
        <v>1.4615369043281103</v>
      </c>
      <c r="T579" s="47">
        <v>16.707569132353537</v>
      </c>
      <c r="U579" s="47"/>
      <c r="V579" s="47">
        <v>9.4058909267581683</v>
      </c>
      <c r="W579" s="47">
        <v>0.18018948135552046</v>
      </c>
      <c r="X579" s="47">
        <v>7.5779687436738339</v>
      </c>
      <c r="Y579" s="47">
        <v>12.533179480950645</v>
      </c>
      <c r="Z579" s="47">
        <v>2.262379043685979</v>
      </c>
      <c r="AA579" s="47">
        <v>0.10010526741973359</v>
      </c>
      <c r="AB579" s="47">
        <v>0</v>
      </c>
      <c r="AD579" s="23">
        <f t="shared" si="412"/>
        <v>98.9</v>
      </c>
      <c r="AE579" s="21">
        <f t="shared" si="413"/>
        <v>9.4058909267581683</v>
      </c>
      <c r="AF579" s="23">
        <f t="shared" si="414"/>
        <v>0.58953771172435165</v>
      </c>
      <c r="AH579" s="16">
        <f t="shared" si="415"/>
        <v>49.212518725454466</v>
      </c>
      <c r="AI579" s="16">
        <f t="shared" si="416"/>
        <v>1.4777926231831247</v>
      </c>
      <c r="AJ579" s="16">
        <f t="shared" si="417"/>
        <v>16.893396493785172</v>
      </c>
      <c r="AK579" s="16">
        <f t="shared" si="418"/>
        <v>0</v>
      </c>
      <c r="AL579" s="16">
        <f t="shared" si="419"/>
        <v>9.5105064982387937</v>
      </c>
      <c r="AM579" s="16">
        <f t="shared" si="420"/>
        <v>0.18219361107737153</v>
      </c>
      <c r="AN579" s="16">
        <f t="shared" si="421"/>
        <v>7.6622535325316816</v>
      </c>
      <c r="AO579" s="16">
        <f t="shared" si="422"/>
        <v>12.672577837159398</v>
      </c>
      <c r="AP579" s="16">
        <f t="shared" si="423"/>
        <v>2.2875420057492204</v>
      </c>
      <c r="AQ579" s="16">
        <f t="shared" si="424"/>
        <v>0.10121867282076197</v>
      </c>
      <c r="AR579" s="16">
        <f t="shared" si="425"/>
        <v>0</v>
      </c>
      <c r="AS579" s="16">
        <f t="shared" si="426"/>
        <v>99.999999999999986</v>
      </c>
      <c r="AT579" s="16">
        <f t="shared" si="427"/>
        <v>9.5105064982387937</v>
      </c>
      <c r="AY579" s="46">
        <v>42</v>
      </c>
      <c r="AZ579" s="41"/>
      <c r="BA579" s="48"/>
      <c r="BB579" s="41"/>
      <c r="BC579" s="48">
        <v>324</v>
      </c>
      <c r="BD579" s="41"/>
      <c r="BE579" s="48">
        <v>43</v>
      </c>
      <c r="BF579" s="41"/>
      <c r="BG579" s="48"/>
      <c r="BH579" s="41"/>
      <c r="BI579" s="48"/>
      <c r="BJ579" s="41"/>
      <c r="BK579" s="48"/>
      <c r="BL579" s="41"/>
      <c r="BM579" s="41"/>
      <c r="BN579" s="41"/>
      <c r="BO579" s="48">
        <v>4</v>
      </c>
      <c r="BP579" s="41"/>
      <c r="BQ579" s="48">
        <v>173</v>
      </c>
      <c r="BR579" s="46"/>
      <c r="BS579" s="48">
        <v>22</v>
      </c>
      <c r="BT579" s="41"/>
      <c r="BU579" s="48">
        <v>50</v>
      </c>
      <c r="BV579" s="41"/>
      <c r="BW579" s="48"/>
      <c r="CA579" s="49"/>
      <c r="CB579" s="49">
        <v>3.8</v>
      </c>
      <c r="CC579" s="49">
        <v>10.8</v>
      </c>
      <c r="CD579" s="46"/>
      <c r="CE579" s="46">
        <v>7.9</v>
      </c>
      <c r="CF579" s="46">
        <v>2.5</v>
      </c>
      <c r="CG579" s="46">
        <v>1</v>
      </c>
      <c r="CH579" s="46"/>
      <c r="CI579" s="46">
        <v>0.61</v>
      </c>
      <c r="CJ579" s="46"/>
      <c r="CK579" s="46"/>
      <c r="CL579" s="46">
        <v>0.47</v>
      </c>
      <c r="CM579" s="46"/>
      <c r="CN579" s="46">
        <v>2.2999999999999998</v>
      </c>
      <c r="CO579" s="46">
        <v>0.31</v>
      </c>
      <c r="CP579" s="46"/>
      <c r="CQ579" s="46"/>
      <c r="CR579" s="49"/>
      <c r="CS579" s="46"/>
      <c r="CT579" s="46"/>
    </row>
    <row r="580" spans="1:98">
      <c r="A580" s="1" t="s">
        <v>251</v>
      </c>
      <c r="B580" s="50">
        <v>338</v>
      </c>
      <c r="C580" s="46" t="s">
        <v>492</v>
      </c>
      <c r="D580" s="63">
        <v>67.785200000000003</v>
      </c>
      <c r="E580" s="63">
        <v>5.3876999999999997</v>
      </c>
      <c r="J580" s="38" t="s">
        <v>256</v>
      </c>
      <c r="L580" s="1" t="s">
        <v>512</v>
      </c>
      <c r="M580" s="78" t="s">
        <v>869</v>
      </c>
      <c r="N580" s="78"/>
      <c r="O580" s="46"/>
      <c r="R580" s="47">
        <v>51.045056497175132</v>
      </c>
      <c r="S580" s="47">
        <v>1.3270480225988699</v>
      </c>
      <c r="T580" s="47">
        <v>16.860710922787195</v>
      </c>
      <c r="U580" s="47"/>
      <c r="V580" s="47">
        <v>11.278879472693029</v>
      </c>
      <c r="W580" s="47">
        <v>0.21603107344632766</v>
      </c>
      <c r="X580" s="47">
        <v>10.204896421845575</v>
      </c>
      <c r="Y580" s="47">
        <v>8.5692325800376654</v>
      </c>
      <c r="Z580" s="47">
        <v>2.5512241054613938</v>
      </c>
      <c r="AA580" s="47">
        <v>0.13373352165725047</v>
      </c>
      <c r="AB580" s="47">
        <v>9.2584745762711862E-2</v>
      </c>
      <c r="AC580" s="9">
        <v>2.2599999999999998</v>
      </c>
      <c r="AD580" s="23">
        <f t="shared" si="412"/>
        <v>104.53939736346516</v>
      </c>
      <c r="AE580" s="21">
        <f t="shared" si="413"/>
        <v>11.278879472693029</v>
      </c>
      <c r="AF580" s="23">
        <f t="shared" si="414"/>
        <v>0.6172947173288712</v>
      </c>
      <c r="AH580" s="16">
        <f t="shared" si="415"/>
        <v>49.907467009977459</v>
      </c>
      <c r="AI580" s="16">
        <f t="shared" si="416"/>
        <v>1.2974734470550371</v>
      </c>
      <c r="AJ580" s="16">
        <f t="shared" si="417"/>
        <v>16.484953331187643</v>
      </c>
      <c r="AK580" s="16">
        <f t="shared" si="418"/>
        <v>0</v>
      </c>
      <c r="AL580" s="16">
        <f t="shared" si="419"/>
        <v>11.027518506598003</v>
      </c>
      <c r="AM580" s="16">
        <f t="shared" si="420"/>
        <v>0.21121660766012229</v>
      </c>
      <c r="AN580" s="16">
        <f t="shared" si="421"/>
        <v>9.9774702285162551</v>
      </c>
      <c r="AO580" s="16">
        <f t="shared" si="422"/>
        <v>8.3782587705181868</v>
      </c>
      <c r="AP580" s="16">
        <f t="shared" si="423"/>
        <v>2.4943675571290638</v>
      </c>
      <c r="AQ580" s="16">
        <f t="shared" si="424"/>
        <v>0.13075313807531383</v>
      </c>
      <c r="AR580" s="16">
        <f t="shared" si="425"/>
        <v>9.0521403282909571E-2</v>
      </c>
      <c r="AS580" s="16">
        <f t="shared" si="426"/>
        <v>100</v>
      </c>
      <c r="AT580" s="16">
        <f t="shared" si="427"/>
        <v>11.027518506598003</v>
      </c>
      <c r="AY580" s="46"/>
      <c r="AZ580" s="41"/>
      <c r="BA580" s="48"/>
      <c r="BB580" s="41"/>
      <c r="BC580" s="48"/>
      <c r="BD580" s="41"/>
      <c r="BE580" s="48"/>
      <c r="BF580" s="41"/>
      <c r="BG580" s="48"/>
      <c r="BH580" s="41"/>
      <c r="BI580" s="48"/>
      <c r="BJ580" s="41"/>
      <c r="BK580" s="48"/>
      <c r="BL580" s="41"/>
      <c r="BM580" s="41"/>
      <c r="BN580" s="41"/>
      <c r="BO580" s="48"/>
      <c r="BP580" s="41"/>
      <c r="BQ580" s="48"/>
      <c r="BR580" s="46"/>
      <c r="BS580" s="48"/>
      <c r="BT580" s="41"/>
      <c r="BU580" s="48"/>
      <c r="BV580" s="41"/>
      <c r="BW580" s="48"/>
      <c r="CA580" s="46"/>
      <c r="CB580" s="49"/>
      <c r="CC580" s="49"/>
      <c r="CD580" s="46"/>
      <c r="CE580" s="49"/>
      <c r="CF580" s="46"/>
      <c r="CG580" s="46"/>
      <c r="CH580" s="46"/>
      <c r="CI580" s="46"/>
      <c r="CJ580" s="46"/>
      <c r="CK580" s="46"/>
      <c r="CL580" s="46"/>
      <c r="CM580" s="46"/>
      <c r="CN580" s="46"/>
      <c r="CO580" s="46"/>
      <c r="CP580" s="46"/>
      <c r="CQ580" s="46"/>
      <c r="CR580" s="46"/>
      <c r="CS580" s="46"/>
      <c r="CT580" s="46"/>
    </row>
    <row r="581" spans="1:98">
      <c r="A581" s="1" t="s">
        <v>251</v>
      </c>
      <c r="B581" s="50">
        <v>338</v>
      </c>
      <c r="C581" s="46" t="s">
        <v>493</v>
      </c>
      <c r="D581" s="63">
        <v>67.785200000000003</v>
      </c>
      <c r="E581" s="63">
        <v>5.3876999999999997</v>
      </c>
      <c r="J581" s="38" t="s">
        <v>256</v>
      </c>
      <c r="L581" s="1" t="s">
        <v>512</v>
      </c>
      <c r="M581" s="78" t="s">
        <v>869</v>
      </c>
      <c r="N581" s="78"/>
      <c r="O581" s="46"/>
      <c r="R581" s="47">
        <v>48.969555438780866</v>
      </c>
      <c r="S581" s="47">
        <v>1.7194944823962159</v>
      </c>
      <c r="T581" s="47">
        <v>17.823023646873352</v>
      </c>
      <c r="U581" s="47"/>
      <c r="V581" s="47">
        <v>10.677339989490275</v>
      </c>
      <c r="W581" s="47">
        <v>0.20592748292170254</v>
      </c>
      <c r="X581" s="47">
        <v>8.5151014188123995</v>
      </c>
      <c r="Y581" s="47">
        <v>8.2782848134524407</v>
      </c>
      <c r="Z581" s="47">
        <v>3.0477267472411973</v>
      </c>
      <c r="AA581" s="47">
        <v>0.43244771413557526</v>
      </c>
      <c r="AB581" s="47">
        <v>0.15444561219127689</v>
      </c>
      <c r="AC581" s="9">
        <v>2.16</v>
      </c>
      <c r="AD581" s="23">
        <f t="shared" si="412"/>
        <v>101.9833473462953</v>
      </c>
      <c r="AE581" s="21">
        <f t="shared" si="413"/>
        <v>10.677339989490275</v>
      </c>
      <c r="AF581" s="23">
        <f t="shared" si="414"/>
        <v>0.58706930753019526</v>
      </c>
      <c r="AH581" s="16">
        <f t="shared" si="415"/>
        <v>49.056214543579159</v>
      </c>
      <c r="AI581" s="16">
        <f t="shared" si="416"/>
        <v>1.7225373904074264</v>
      </c>
      <c r="AJ581" s="16">
        <f t="shared" si="417"/>
        <v>17.854564208354819</v>
      </c>
      <c r="AK581" s="16">
        <f t="shared" si="418"/>
        <v>0</v>
      </c>
      <c r="AL581" s="16">
        <f t="shared" si="419"/>
        <v>10.696235172769466</v>
      </c>
      <c r="AM581" s="16">
        <f t="shared" si="420"/>
        <v>0.20629190304280556</v>
      </c>
      <c r="AN581" s="16">
        <f t="shared" si="421"/>
        <v>8.5301701908200105</v>
      </c>
      <c r="AO581" s="16">
        <f t="shared" si="422"/>
        <v>8.292934502320783</v>
      </c>
      <c r="AP581" s="16">
        <f t="shared" si="423"/>
        <v>3.0531201650335222</v>
      </c>
      <c r="AQ581" s="16">
        <f t="shared" si="424"/>
        <v>0.43321299638989158</v>
      </c>
      <c r="AR581" s="16">
        <f t="shared" si="425"/>
        <v>0.15471892728210415</v>
      </c>
      <c r="AS581" s="16">
        <f t="shared" si="426"/>
        <v>100</v>
      </c>
      <c r="AT581" s="16">
        <f t="shared" si="427"/>
        <v>10.696235172769466</v>
      </c>
      <c r="AY581" s="46"/>
      <c r="AZ581" s="41"/>
      <c r="BA581" s="48"/>
      <c r="BB581" s="41"/>
      <c r="BC581" s="48"/>
      <c r="BD581" s="41"/>
      <c r="BE581" s="48"/>
      <c r="BF581" s="41"/>
      <c r="BG581" s="48"/>
      <c r="BH581" s="41"/>
      <c r="BI581" s="48"/>
      <c r="BJ581" s="41"/>
      <c r="BK581" s="48"/>
      <c r="BL581" s="41"/>
      <c r="BM581" s="41"/>
      <c r="BN581" s="41"/>
      <c r="BO581" s="48"/>
      <c r="BP581" s="41"/>
      <c r="BQ581" s="48"/>
      <c r="BR581" s="46"/>
      <c r="BS581" s="48"/>
      <c r="BT581" s="41"/>
      <c r="BU581" s="48"/>
      <c r="BV581" s="41"/>
      <c r="BW581" s="48"/>
      <c r="CA581" s="46"/>
      <c r="CB581" s="49"/>
      <c r="CC581" s="49"/>
      <c r="CD581" s="46"/>
      <c r="CE581" s="49"/>
      <c r="CF581" s="46"/>
      <c r="CG581" s="46"/>
      <c r="CH581" s="46"/>
      <c r="CI581" s="46"/>
      <c r="CJ581" s="46"/>
      <c r="CK581" s="46"/>
      <c r="CL581" s="46"/>
      <c r="CM581" s="46"/>
      <c r="CN581" s="46"/>
      <c r="CO581" s="46"/>
      <c r="CP581" s="46"/>
      <c r="CQ581" s="46"/>
      <c r="CR581" s="46"/>
      <c r="CS581" s="46"/>
      <c r="CT581" s="46"/>
    </row>
    <row r="582" spans="1:98">
      <c r="A582" s="1" t="s">
        <v>251</v>
      </c>
      <c r="B582" s="50">
        <v>338</v>
      </c>
      <c r="C582" s="46" t="s">
        <v>494</v>
      </c>
      <c r="D582" s="63">
        <v>67.785200000000003</v>
      </c>
      <c r="E582" s="63">
        <v>5.3876999999999997</v>
      </c>
      <c r="J582" s="38" t="s">
        <v>256</v>
      </c>
      <c r="L582" s="1" t="s">
        <v>512</v>
      </c>
      <c r="M582" s="78" t="s">
        <v>869</v>
      </c>
      <c r="N582" s="78"/>
      <c r="O582" s="46"/>
      <c r="R582" s="47">
        <v>48.714238695053666</v>
      </c>
      <c r="S582" s="47">
        <v>1.5414606125216062</v>
      </c>
      <c r="T582" s="47">
        <v>16.476274361654784</v>
      </c>
      <c r="U582" s="47"/>
      <c r="V582" s="47">
        <v>11.644663051015867</v>
      </c>
      <c r="W582" s="47">
        <v>0</v>
      </c>
      <c r="X582" s="47">
        <v>7.3806359129345767</v>
      </c>
      <c r="Y582" s="47">
        <v>11.402725193288967</v>
      </c>
      <c r="Z582" s="47">
        <v>2.2254199571503985</v>
      </c>
      <c r="AA582" s="47">
        <v>0.1735419232640219</v>
      </c>
      <c r="AB582" s="47">
        <v>0</v>
      </c>
      <c r="AC582" s="9">
        <v>1.41</v>
      </c>
      <c r="AD582" s="23">
        <f t="shared" si="412"/>
        <v>100.96895970688389</v>
      </c>
      <c r="AE582" s="21">
        <f t="shared" si="413"/>
        <v>11.644663051015867</v>
      </c>
      <c r="AF582" s="23">
        <f t="shared" si="414"/>
        <v>0.53050144647176156</v>
      </c>
      <c r="AH582" s="16">
        <f t="shared" si="415"/>
        <v>48.930039886390425</v>
      </c>
      <c r="AI582" s="16">
        <f t="shared" si="416"/>
        <v>1.5482891917110133</v>
      </c>
      <c r="AJ582" s="16">
        <f t="shared" si="417"/>
        <v>16.549263280937588</v>
      </c>
      <c r="AK582" s="16">
        <f t="shared" si="418"/>
        <v>0</v>
      </c>
      <c r="AL582" s="16">
        <f t="shared" si="419"/>
        <v>11.69624821844207</v>
      </c>
      <c r="AM582" s="16">
        <f t="shared" si="420"/>
        <v>0</v>
      </c>
      <c r="AN582" s="16">
        <f t="shared" si="421"/>
        <v>7.4133316927620028</v>
      </c>
      <c r="AO582" s="16">
        <f t="shared" si="422"/>
        <v>11.453238590339087</v>
      </c>
      <c r="AP582" s="16">
        <f t="shared" si="423"/>
        <v>2.2352784357152382</v>
      </c>
      <c r="AQ582" s="16">
        <f t="shared" si="424"/>
        <v>0.17431070370256446</v>
      </c>
      <c r="AR582" s="16">
        <f t="shared" si="425"/>
        <v>0</v>
      </c>
      <c r="AS582" s="16">
        <f t="shared" si="426"/>
        <v>99.999999999999986</v>
      </c>
      <c r="AT582" s="16">
        <f t="shared" si="427"/>
        <v>11.69624821844207</v>
      </c>
      <c r="AY582" s="46"/>
      <c r="AZ582" s="41"/>
      <c r="BA582" s="48"/>
      <c r="BB582" s="41"/>
      <c r="BC582" s="48"/>
      <c r="BD582" s="41"/>
      <c r="BE582" s="48"/>
      <c r="BF582" s="41"/>
      <c r="BG582" s="48"/>
      <c r="BH582" s="41"/>
      <c r="BI582" s="48"/>
      <c r="BJ582" s="41"/>
      <c r="BK582" s="48"/>
      <c r="BL582" s="41"/>
      <c r="BM582" s="41"/>
      <c r="BN582" s="41"/>
      <c r="BO582" s="48"/>
      <c r="BP582" s="41"/>
      <c r="BQ582" s="48"/>
      <c r="BR582" s="46"/>
      <c r="BS582" s="48"/>
      <c r="BT582" s="41"/>
      <c r="BU582" s="48"/>
      <c r="BV582" s="41"/>
      <c r="BW582" s="48"/>
      <c r="CA582" s="46"/>
      <c r="CB582" s="49"/>
      <c r="CC582" s="49"/>
      <c r="CD582" s="46"/>
      <c r="CE582" s="49"/>
      <c r="CF582" s="46"/>
      <c r="CG582" s="46"/>
      <c r="CH582" s="46"/>
      <c r="CI582" s="46"/>
      <c r="CJ582" s="46"/>
      <c r="CK582" s="46"/>
      <c r="CL582" s="46"/>
      <c r="CM582" s="46"/>
      <c r="CN582" s="46"/>
      <c r="CO582" s="46"/>
      <c r="CP582" s="46"/>
      <c r="CQ582" s="46"/>
      <c r="CR582" s="46"/>
      <c r="CS582" s="46"/>
      <c r="CT582" s="46"/>
    </row>
    <row r="583" spans="1:98">
      <c r="A583" s="1" t="s">
        <v>251</v>
      </c>
      <c r="B583" s="50">
        <v>338</v>
      </c>
      <c r="C583" s="46" t="s">
        <v>495</v>
      </c>
      <c r="D583" s="63">
        <v>67.785200000000003</v>
      </c>
      <c r="E583" s="63">
        <v>5.3876999999999997</v>
      </c>
      <c r="J583" s="38" t="s">
        <v>256</v>
      </c>
      <c r="L583" s="1" t="s">
        <v>513</v>
      </c>
      <c r="M583" s="78" t="s">
        <v>870</v>
      </c>
      <c r="N583" s="78" t="s">
        <v>871</v>
      </c>
      <c r="O583" s="46"/>
      <c r="R583" s="47">
        <v>51.04326573483074</v>
      </c>
      <c r="S583" s="47">
        <v>1.5212894885675043</v>
      </c>
      <c r="T583" s="47">
        <v>16.53401470469419</v>
      </c>
      <c r="U583" s="47"/>
      <c r="V583" s="47">
        <v>7.6324694998788081</v>
      </c>
      <c r="W583" s="47">
        <v>0.15012725216126685</v>
      </c>
      <c r="X583" s="47">
        <v>7.4563201906762551</v>
      </c>
      <c r="Y583" s="47">
        <v>11.97014623899168</v>
      </c>
      <c r="Z583" s="47">
        <v>2.6922820554253861</v>
      </c>
      <c r="AA583" s="47">
        <v>0.10008483477417793</v>
      </c>
      <c r="AB583" s="47">
        <v>0</v>
      </c>
      <c r="AD583" s="23">
        <f t="shared" si="412"/>
        <v>99.1</v>
      </c>
      <c r="AE583" s="21">
        <f t="shared" si="413"/>
        <v>7.6324694998788081</v>
      </c>
      <c r="AF583" s="23">
        <f t="shared" si="414"/>
        <v>0.63524762938339752</v>
      </c>
      <c r="AH583" s="16">
        <f t="shared" si="415"/>
        <v>51.50682717944575</v>
      </c>
      <c r="AI583" s="16">
        <f t="shared" si="416"/>
        <v>1.5351054375050499</v>
      </c>
      <c r="AJ583" s="16">
        <f t="shared" si="417"/>
        <v>16.684172254989093</v>
      </c>
      <c r="AK583" s="16">
        <f t="shared" si="418"/>
        <v>0</v>
      </c>
      <c r="AL583" s="16">
        <f t="shared" si="419"/>
        <v>7.7017855700088891</v>
      </c>
      <c r="AM583" s="16">
        <f t="shared" si="420"/>
        <v>0.15149066817484041</v>
      </c>
      <c r="AN583" s="16">
        <f t="shared" si="421"/>
        <v>7.5240365193504086</v>
      </c>
      <c r="AO583" s="16">
        <f t="shared" si="422"/>
        <v>12.078855942473945</v>
      </c>
      <c r="AP583" s="16">
        <f t="shared" si="423"/>
        <v>2.7167326492688053</v>
      </c>
      <c r="AQ583" s="16">
        <f t="shared" si="424"/>
        <v>0.10099377878322698</v>
      </c>
      <c r="AR583" s="16">
        <f t="shared" si="425"/>
        <v>0</v>
      </c>
      <c r="AS583" s="16">
        <f t="shared" si="426"/>
        <v>100.00000000000001</v>
      </c>
      <c r="AT583" s="16">
        <f t="shared" si="427"/>
        <v>7.7017855700088891</v>
      </c>
      <c r="AY583" s="46">
        <v>46</v>
      </c>
      <c r="AZ583" s="41"/>
      <c r="BA583" s="48"/>
      <c r="BB583" s="41"/>
      <c r="BC583" s="48">
        <v>173</v>
      </c>
      <c r="BD583" s="41"/>
      <c r="BE583" s="48">
        <v>46</v>
      </c>
      <c r="BF583" s="41"/>
      <c r="BG583" s="48"/>
      <c r="BH583" s="41"/>
      <c r="BI583" s="48"/>
      <c r="BJ583" s="41"/>
      <c r="BK583" s="48"/>
      <c r="BL583" s="41"/>
      <c r="BM583" s="41"/>
      <c r="BN583" s="41"/>
      <c r="BO583" s="48">
        <v>1.5</v>
      </c>
      <c r="BP583" s="41"/>
      <c r="BQ583" s="48">
        <v>151</v>
      </c>
      <c r="BR583" s="46"/>
      <c r="BS583" s="48">
        <v>27</v>
      </c>
      <c r="BT583" s="41"/>
      <c r="BU583" s="48">
        <v>64</v>
      </c>
      <c r="BV583" s="41"/>
      <c r="BW583" s="48"/>
      <c r="CA583" s="49"/>
      <c r="CB583" s="49">
        <v>4.3</v>
      </c>
      <c r="CC583" s="49">
        <v>11.1</v>
      </c>
      <c r="CD583" s="46"/>
      <c r="CE583" s="46">
        <v>9.4</v>
      </c>
      <c r="CF583" s="46">
        <v>2.9</v>
      </c>
      <c r="CG583" s="46">
        <v>1.1000000000000001</v>
      </c>
      <c r="CH583" s="46"/>
      <c r="CI583" s="46">
        <v>0.74</v>
      </c>
      <c r="CJ583" s="46"/>
      <c r="CK583" s="46"/>
      <c r="CL583" s="46">
        <v>0.53</v>
      </c>
      <c r="CM583" s="46"/>
      <c r="CN583" s="46">
        <v>3</v>
      </c>
      <c r="CO583" s="46">
        <v>0.45</v>
      </c>
      <c r="CP583" s="46"/>
      <c r="CQ583" s="46"/>
      <c r="CR583" s="49"/>
      <c r="CS583" s="46"/>
      <c r="CT583" s="46"/>
    </row>
    <row r="584" spans="1:98">
      <c r="A584" s="1" t="s">
        <v>251</v>
      </c>
      <c r="B584" s="50">
        <v>338</v>
      </c>
      <c r="C584" s="46" t="s">
        <v>496</v>
      </c>
      <c r="D584" s="63">
        <v>67.785200000000003</v>
      </c>
      <c r="E584" s="63">
        <v>5.3876999999999997</v>
      </c>
      <c r="J584" s="38" t="s">
        <v>256</v>
      </c>
      <c r="L584" s="1" t="s">
        <v>512</v>
      </c>
      <c r="M584" s="78" t="s">
        <v>869</v>
      </c>
      <c r="N584" s="78"/>
      <c r="O584" s="46"/>
      <c r="R584" s="47">
        <v>49.085378629606083</v>
      </c>
      <c r="S584" s="47">
        <v>2.9565870348502741</v>
      </c>
      <c r="T584" s="47">
        <v>15.114796984285583</v>
      </c>
      <c r="U584" s="47"/>
      <c r="V584" s="47">
        <v>11.726789596390834</v>
      </c>
      <c r="W584" s="47">
        <v>0.32180539154832916</v>
      </c>
      <c r="X584" s="47">
        <v>5.8628919772711212</v>
      </c>
      <c r="Y584" s="47">
        <v>11.072116752959699</v>
      </c>
      <c r="Z584" s="47">
        <v>2.8761356869631913</v>
      </c>
      <c r="AA584" s="47">
        <v>0.45253883186483784</v>
      </c>
      <c r="AB584" s="47">
        <v>0.20112836971770573</v>
      </c>
      <c r="AC584" s="9">
        <v>0.1</v>
      </c>
      <c r="AD584" s="23">
        <f t="shared" si="412"/>
        <v>99.770169255457645</v>
      </c>
      <c r="AE584" s="21">
        <f t="shared" si="413"/>
        <v>11.726789596390834</v>
      </c>
      <c r="AF584" s="23">
        <f t="shared" si="414"/>
        <v>0.47125988826007054</v>
      </c>
      <c r="AH584" s="16">
        <f t="shared" si="415"/>
        <v>49.247813058086393</v>
      </c>
      <c r="AI584" s="16">
        <f t="shared" si="416"/>
        <v>2.9663710385325546</v>
      </c>
      <c r="AJ584" s="16">
        <f t="shared" si="417"/>
        <v>15.164815207191936</v>
      </c>
      <c r="AK584" s="16">
        <f t="shared" si="418"/>
        <v>0</v>
      </c>
      <c r="AL584" s="16">
        <f t="shared" si="419"/>
        <v>11.76559614977147</v>
      </c>
      <c r="AM584" s="16">
        <f t="shared" si="420"/>
        <v>0.32287031711918962</v>
      </c>
      <c r="AN584" s="16">
        <f t="shared" si="421"/>
        <v>5.8822935900152347</v>
      </c>
      <c r="AO584" s="16">
        <f t="shared" si="422"/>
        <v>11.108756848382116</v>
      </c>
      <c r="AP584" s="16">
        <f t="shared" si="423"/>
        <v>2.8856534592527567</v>
      </c>
      <c r="AQ584" s="16">
        <f t="shared" si="424"/>
        <v>0.45403638344886038</v>
      </c>
      <c r="AR584" s="16">
        <f t="shared" si="425"/>
        <v>0.20179394819949353</v>
      </c>
      <c r="AS584" s="16">
        <f t="shared" si="426"/>
        <v>100.00000000000001</v>
      </c>
      <c r="AT584" s="16">
        <f t="shared" si="427"/>
        <v>11.76559614977147</v>
      </c>
      <c r="AY584" s="46"/>
      <c r="AZ584" s="41"/>
      <c r="BA584" s="48"/>
      <c r="BB584" s="41"/>
      <c r="BC584" s="48"/>
      <c r="BD584" s="41"/>
      <c r="BE584" s="48"/>
      <c r="BF584" s="41"/>
      <c r="BG584" s="48"/>
      <c r="BH584" s="41"/>
      <c r="BI584" s="48"/>
      <c r="BJ584" s="41"/>
      <c r="BK584" s="48"/>
      <c r="BL584" s="41"/>
      <c r="BM584" s="41"/>
      <c r="BN584" s="41"/>
      <c r="BO584" s="48"/>
      <c r="BP584" s="41"/>
      <c r="BQ584" s="48"/>
      <c r="BR584" s="46"/>
      <c r="BS584" s="48"/>
      <c r="BT584" s="41"/>
      <c r="BU584" s="48"/>
      <c r="BV584" s="41"/>
      <c r="BW584" s="48"/>
      <c r="CA584" s="46"/>
      <c r="CB584" s="49"/>
      <c r="CC584" s="49"/>
      <c r="CD584" s="46"/>
      <c r="CE584" s="49"/>
      <c r="CF584" s="46"/>
      <c r="CG584" s="46"/>
      <c r="CH584" s="46"/>
      <c r="CI584" s="46"/>
      <c r="CJ584" s="46"/>
      <c r="CK584" s="46"/>
      <c r="CL584" s="46"/>
      <c r="CM584" s="46"/>
      <c r="CN584" s="46"/>
      <c r="CO584" s="46"/>
      <c r="CP584" s="46"/>
      <c r="CQ584" s="46"/>
      <c r="CR584" s="46"/>
      <c r="CS584" s="46"/>
      <c r="CT584" s="46"/>
    </row>
    <row r="585" spans="1:98">
      <c r="A585" s="56" t="s">
        <v>647</v>
      </c>
      <c r="B585" s="50"/>
      <c r="C585" s="46"/>
      <c r="J585" s="38"/>
      <c r="O585" s="46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F585" s="23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Y585" s="46"/>
      <c r="AZ585" s="41"/>
      <c r="BA585" s="48"/>
      <c r="BB585" s="41"/>
      <c r="BC585" s="48"/>
      <c r="BD585" s="41"/>
      <c r="BE585" s="48"/>
      <c r="BF585" s="41"/>
      <c r="BG585" s="48"/>
      <c r="BH585" s="41"/>
      <c r="BI585" s="48"/>
      <c r="BJ585" s="41"/>
      <c r="BK585" s="48"/>
      <c r="BL585" s="41"/>
      <c r="BM585" s="41"/>
      <c r="BN585" s="41"/>
      <c r="BO585" s="48"/>
      <c r="BP585" s="41"/>
      <c r="BQ585" s="48"/>
      <c r="BR585" s="46"/>
      <c r="BS585" s="48"/>
      <c r="BT585" s="41"/>
      <c r="BU585" s="48"/>
      <c r="BV585" s="41"/>
      <c r="BW585" s="48"/>
      <c r="CA585" s="46"/>
      <c r="CB585" s="49"/>
      <c r="CC585" s="49"/>
      <c r="CD585" s="46"/>
      <c r="CE585" s="49"/>
      <c r="CF585" s="46"/>
      <c r="CG585" s="46"/>
      <c r="CH585" s="46"/>
      <c r="CI585" s="46"/>
      <c r="CJ585" s="46"/>
      <c r="CK585" s="46"/>
      <c r="CL585" s="46"/>
      <c r="CM585" s="46"/>
      <c r="CN585" s="46"/>
      <c r="CO585" s="46"/>
      <c r="CP585" s="46"/>
      <c r="CQ585" s="46"/>
      <c r="CR585" s="46"/>
      <c r="CS585" s="46"/>
      <c r="CT585" s="46"/>
    </row>
    <row r="586" spans="1:98">
      <c r="A586" s="1" t="s">
        <v>251</v>
      </c>
      <c r="B586" s="50">
        <v>342</v>
      </c>
      <c r="C586" s="46" t="s">
        <v>497</v>
      </c>
      <c r="D586" s="63">
        <v>67.950699999999998</v>
      </c>
      <c r="E586" s="63">
        <v>4.9337</v>
      </c>
      <c r="J586" s="38" t="s">
        <v>256</v>
      </c>
      <c r="L586" s="1" t="s">
        <v>515</v>
      </c>
      <c r="M586" s="78" t="s">
        <v>870</v>
      </c>
      <c r="N586" s="78" t="s">
        <v>871</v>
      </c>
      <c r="O586" s="46"/>
      <c r="R586" s="47">
        <v>48.956710389506512</v>
      </c>
      <c r="S586" s="47">
        <v>2.80324722066704</v>
      </c>
      <c r="T586" s="47">
        <v>15.437882908102054</v>
      </c>
      <c r="U586" s="47"/>
      <c r="V586" s="47">
        <v>10.506170119171399</v>
      </c>
      <c r="W586" s="47">
        <v>0.2502899304167</v>
      </c>
      <c r="X586" s="47">
        <v>7.2483963848676316</v>
      </c>
      <c r="Y586" s="47">
        <v>12.804832840118369</v>
      </c>
      <c r="Z586" s="47">
        <v>1.9822962489002638</v>
      </c>
      <c r="AA586" s="47">
        <v>0.15017395825001997</v>
      </c>
      <c r="AB586" s="47">
        <v>0</v>
      </c>
      <c r="AD586" s="23">
        <f t="shared" ref="AD586:AD601" si="428">SUM(R586:AB586)+AC586</f>
        <v>100.13999999999999</v>
      </c>
      <c r="AE586" s="21">
        <f t="shared" ref="AE586:AE601" si="429">V586+0.899*U586</f>
        <v>10.506170119171399</v>
      </c>
      <c r="AF586" s="23">
        <f t="shared" ref="AF586:AF601" si="430">(X586/40.3)/((X586/40.3)+(AE586/71.844))</f>
        <v>0.55155689344320391</v>
      </c>
      <c r="AH586" s="16">
        <f t="shared" ref="AH586:AH593" si="431">100*R586/SUM($R586:$AB586)</f>
        <v>48.888266815964172</v>
      </c>
      <c r="AI586" s="16">
        <f t="shared" ref="AI586:AI593" si="432">100*S586/SUM($R586:$AB586)</f>
        <v>2.7993281612413026</v>
      </c>
      <c r="AJ586" s="16">
        <f t="shared" ref="AJ586:AJ593" si="433">100*T586/SUM($R586:$AB586)</f>
        <v>15.416300087978886</v>
      </c>
      <c r="AK586" s="16">
        <f t="shared" ref="AK586:AK593" si="434">100*U586/SUM($R586:$AB586)</f>
        <v>0</v>
      </c>
      <c r="AL586" s="16">
        <f t="shared" ref="AL586:AL593" si="435">100*V586/SUM($R586:$AB586)</f>
        <v>10.491482044309368</v>
      </c>
      <c r="AM586" s="16">
        <f t="shared" ref="AM586:AM593" si="436">100*W586/SUM($R586:$AB586)</f>
        <v>0.24994001439654487</v>
      </c>
      <c r="AN586" s="16">
        <f t="shared" ref="AN586:AN593" si="437">100*X586/SUM($R586:$AB586)</f>
        <v>7.2382628169239398</v>
      </c>
      <c r="AO586" s="16">
        <f t="shared" ref="AO586:AO593" si="438">100*Y586/SUM($R586:$AB586)</f>
        <v>12.786931136527233</v>
      </c>
      <c r="AP586" s="16">
        <f t="shared" ref="AP586:AP593" si="439">100*Z586/SUM($R586:$AB586)</f>
        <v>1.979524914020635</v>
      </c>
      <c r="AQ586" s="16">
        <f t="shared" ref="AQ586:AQ593" si="440">100*AA586/SUM($R586:$AB586)</f>
        <v>0.14996400863792689</v>
      </c>
      <c r="AR586" s="16">
        <f t="shared" ref="AR586:AR593" si="441">100*AB586/SUM($R586:$AB586)</f>
        <v>0</v>
      </c>
      <c r="AS586" s="16">
        <f t="shared" ref="AS586:AS593" si="442">SUM(AH586:AR586)</f>
        <v>99.999999999999986</v>
      </c>
      <c r="AT586" s="16">
        <f t="shared" ref="AT586:AT593" si="443">AL586+0.899*AK586</f>
        <v>10.491482044309368</v>
      </c>
      <c r="AY586" s="46">
        <v>49</v>
      </c>
      <c r="AZ586" s="41"/>
      <c r="BA586" s="48"/>
      <c r="BB586" s="41"/>
      <c r="BC586" s="48">
        <v>186</v>
      </c>
      <c r="BD586" s="41"/>
      <c r="BE586" s="48">
        <v>52</v>
      </c>
      <c r="BF586" s="41"/>
      <c r="BG586" s="48"/>
      <c r="BH586" s="41"/>
      <c r="BI586" s="48"/>
      <c r="BJ586" s="41"/>
      <c r="BK586" s="48"/>
      <c r="BL586" s="41"/>
      <c r="BM586" s="41"/>
      <c r="BN586" s="41"/>
      <c r="BO586" s="48">
        <v>7.1</v>
      </c>
      <c r="BP586" s="41"/>
      <c r="BQ586" s="48">
        <v>250</v>
      </c>
      <c r="BR586" s="46"/>
      <c r="BS586" s="48">
        <v>36</v>
      </c>
      <c r="BT586" s="41"/>
      <c r="BU586" s="48">
        <v>186</v>
      </c>
      <c r="BV586" s="41"/>
      <c r="BW586" s="48"/>
      <c r="CA586" s="49"/>
      <c r="CB586" s="49">
        <v>15.5</v>
      </c>
      <c r="CC586" s="49">
        <v>43.1</v>
      </c>
      <c r="CD586" s="46"/>
      <c r="CE586" s="46">
        <v>29.6</v>
      </c>
      <c r="CF586" s="46">
        <v>7.9</v>
      </c>
      <c r="CG586" s="46">
        <v>2.4</v>
      </c>
      <c r="CH586" s="46"/>
      <c r="CI586" s="46">
        <v>1.4</v>
      </c>
      <c r="CJ586" s="46"/>
      <c r="CK586" s="46"/>
      <c r="CL586" s="46"/>
      <c r="CM586" s="46"/>
      <c r="CN586" s="46">
        <v>3.3</v>
      </c>
      <c r="CO586" s="46">
        <v>0.4</v>
      </c>
      <c r="CP586" s="46"/>
      <c r="CQ586" s="46"/>
      <c r="CR586" s="49"/>
      <c r="CS586" s="46"/>
      <c r="CT586" s="46"/>
    </row>
    <row r="587" spans="1:98">
      <c r="A587" s="1" t="s">
        <v>251</v>
      </c>
      <c r="B587" s="50">
        <v>342</v>
      </c>
      <c r="C587" s="46" t="s">
        <v>498</v>
      </c>
      <c r="D587" s="63">
        <v>67.950699999999998</v>
      </c>
      <c r="E587" s="63">
        <v>4.9337</v>
      </c>
      <c r="J587" s="38" t="s">
        <v>256</v>
      </c>
      <c r="L587" s="1" t="s">
        <v>512</v>
      </c>
      <c r="M587" s="78" t="s">
        <v>869</v>
      </c>
      <c r="N587" s="78"/>
      <c r="O587" s="46"/>
      <c r="R587" s="47">
        <v>50.258383444281321</v>
      </c>
      <c r="S587" s="47">
        <v>2.9989984514208716</v>
      </c>
      <c r="T587" s="47">
        <v>14.974864750718986</v>
      </c>
      <c r="U587" s="47"/>
      <c r="V587" s="47">
        <v>11.830948253323413</v>
      </c>
      <c r="W587" s="47">
        <v>0.18114755746837483</v>
      </c>
      <c r="X587" s="47">
        <v>5.9678056432636817</v>
      </c>
      <c r="Y587" s="47">
        <v>10.134199465036303</v>
      </c>
      <c r="Z587" s="47">
        <v>2.8782334131086222</v>
      </c>
      <c r="AA587" s="47">
        <v>0.57363393198318691</v>
      </c>
      <c r="AB587" s="47">
        <v>0.28178508939524971</v>
      </c>
      <c r="AC587" s="9">
        <v>0.23</v>
      </c>
      <c r="AD587" s="23">
        <f t="shared" si="428"/>
        <v>100.31000000000002</v>
      </c>
      <c r="AE587" s="21">
        <f t="shared" si="429"/>
        <v>11.830948253323413</v>
      </c>
      <c r="AF587" s="23">
        <f t="shared" si="430"/>
        <v>0.47347644545511652</v>
      </c>
      <c r="AH587" s="16">
        <f t="shared" si="431"/>
        <v>50.218208877179563</v>
      </c>
      <c r="AI587" s="16">
        <f t="shared" si="432"/>
        <v>2.9966011704844835</v>
      </c>
      <c r="AJ587" s="16">
        <f t="shared" si="433"/>
        <v>14.962894435170847</v>
      </c>
      <c r="AK587" s="16">
        <f t="shared" si="434"/>
        <v>0</v>
      </c>
      <c r="AL587" s="16">
        <f t="shared" si="435"/>
        <v>11.821491060475031</v>
      </c>
      <c r="AM587" s="16">
        <f t="shared" si="436"/>
        <v>0.18100275526416346</v>
      </c>
      <c r="AN587" s="16">
        <f t="shared" si="437"/>
        <v>5.9630352150916082</v>
      </c>
      <c r="AO587" s="16">
        <f t="shared" si="438"/>
        <v>10.12609858616737</v>
      </c>
      <c r="AP587" s="16">
        <f t="shared" si="439"/>
        <v>2.875932666975042</v>
      </c>
      <c r="AQ587" s="16">
        <f t="shared" si="440"/>
        <v>0.57317539166985099</v>
      </c>
      <c r="AR587" s="16">
        <f t="shared" si="441"/>
        <v>0.28155984152203206</v>
      </c>
      <c r="AS587" s="16">
        <f t="shared" si="442"/>
        <v>99.999999999999986</v>
      </c>
      <c r="AT587" s="16">
        <f t="shared" si="443"/>
        <v>11.821491060475031</v>
      </c>
      <c r="AY587" s="46"/>
      <c r="AZ587" s="41"/>
      <c r="BA587" s="48"/>
      <c r="BB587" s="41"/>
      <c r="BC587" s="48"/>
      <c r="BD587" s="41"/>
      <c r="BE587" s="48"/>
      <c r="BF587" s="41"/>
      <c r="BG587" s="48"/>
      <c r="BH587" s="41"/>
      <c r="BI587" s="48"/>
      <c r="BJ587" s="41"/>
      <c r="BK587" s="48"/>
      <c r="BL587" s="41"/>
      <c r="BM587" s="41"/>
      <c r="BN587" s="41"/>
      <c r="BO587" s="48"/>
      <c r="BP587" s="41"/>
      <c r="BQ587" s="48"/>
      <c r="BR587" s="46"/>
      <c r="BS587" s="48"/>
      <c r="BT587" s="41"/>
      <c r="BU587" s="48"/>
      <c r="BV587" s="41"/>
      <c r="BW587" s="48"/>
      <c r="CA587" s="46"/>
      <c r="CB587" s="49"/>
      <c r="CC587" s="49"/>
      <c r="CD587" s="46"/>
      <c r="CE587" s="49"/>
      <c r="CF587" s="46"/>
      <c r="CG587" s="46"/>
      <c r="CH587" s="46"/>
      <c r="CI587" s="46"/>
      <c r="CJ587" s="46"/>
      <c r="CK587" s="46"/>
      <c r="CL587" s="46"/>
      <c r="CM587" s="46"/>
      <c r="CN587" s="46"/>
      <c r="CO587" s="46"/>
      <c r="CP587" s="46"/>
      <c r="CQ587" s="46"/>
      <c r="CR587" s="46"/>
      <c r="CS587" s="46"/>
      <c r="CT587" s="46"/>
    </row>
    <row r="588" spans="1:98">
      <c r="A588" s="1" t="s">
        <v>251</v>
      </c>
      <c r="B588" s="50">
        <v>342</v>
      </c>
      <c r="C588" s="46" t="s">
        <v>499</v>
      </c>
      <c r="D588" s="63">
        <v>67.950699999999998</v>
      </c>
      <c r="E588" s="63">
        <v>4.9337</v>
      </c>
      <c r="J588" s="38" t="s">
        <v>256</v>
      </c>
      <c r="L588" s="1" t="s">
        <v>512</v>
      </c>
      <c r="M588" s="78" t="s">
        <v>869</v>
      </c>
      <c r="N588" s="78"/>
      <c r="O588" s="46"/>
      <c r="R588" s="47">
        <v>49.880204851421389</v>
      </c>
      <c r="S588" s="47">
        <v>2.799865067926032</v>
      </c>
      <c r="T588" s="47">
        <v>14.881891502345978</v>
      </c>
      <c r="U588" s="47"/>
      <c r="V588" s="47">
        <v>12.576060596767764</v>
      </c>
      <c r="W588" s="47">
        <v>0.20288877303811831</v>
      </c>
      <c r="X588" s="47">
        <v>5.7113189610230304</v>
      </c>
      <c r="Y588" s="47">
        <v>10.448771811463093</v>
      </c>
      <c r="Z588" s="47">
        <v>2.9013094544450917</v>
      </c>
      <c r="AA588" s="47">
        <v>0.42606642338004846</v>
      </c>
      <c r="AB588" s="47">
        <v>0.2536109662976479</v>
      </c>
      <c r="AC588" s="9">
        <v>0.97</v>
      </c>
      <c r="AD588" s="23">
        <f t="shared" si="428"/>
        <v>101.05198840810817</v>
      </c>
      <c r="AE588" s="21">
        <f t="shared" si="429"/>
        <v>12.576060596767764</v>
      </c>
      <c r="AF588" s="23">
        <f t="shared" si="430"/>
        <v>0.44739553262505888</v>
      </c>
      <c r="AH588" s="16">
        <f t="shared" si="431"/>
        <v>49.839342368002278</v>
      </c>
      <c r="AI588" s="16">
        <f t="shared" si="432"/>
        <v>2.7975713836828606</v>
      </c>
      <c r="AJ588" s="16">
        <f t="shared" si="433"/>
        <v>14.869700071966513</v>
      </c>
      <c r="AK588" s="16">
        <f t="shared" si="434"/>
        <v>0</v>
      </c>
      <c r="AL588" s="16">
        <f t="shared" si="435"/>
        <v>12.565758131708852</v>
      </c>
      <c r="AM588" s="16">
        <f t="shared" si="436"/>
        <v>0.20272256403498995</v>
      </c>
      <c r="AN588" s="16">
        <f t="shared" si="437"/>
        <v>5.7066401775849664</v>
      </c>
      <c r="AO588" s="16">
        <f t="shared" si="438"/>
        <v>10.440212047801984</v>
      </c>
      <c r="AP588" s="16">
        <f t="shared" si="439"/>
        <v>2.898932665700356</v>
      </c>
      <c r="AQ588" s="16">
        <f t="shared" si="440"/>
        <v>0.4257173844734789</v>
      </c>
      <c r="AR588" s="16">
        <f t="shared" si="441"/>
        <v>0.25340320504373748</v>
      </c>
      <c r="AS588" s="16">
        <f t="shared" si="442"/>
        <v>100</v>
      </c>
      <c r="AT588" s="16">
        <f t="shared" si="443"/>
        <v>12.565758131708852</v>
      </c>
      <c r="AY588" s="46"/>
      <c r="AZ588" s="41"/>
      <c r="BA588" s="48"/>
      <c r="BB588" s="41"/>
      <c r="BC588" s="48"/>
      <c r="BD588" s="41"/>
      <c r="BE588" s="48"/>
      <c r="BF588" s="41"/>
      <c r="BG588" s="48"/>
      <c r="BH588" s="41"/>
      <c r="BI588" s="48"/>
      <c r="BJ588" s="41"/>
      <c r="BK588" s="48"/>
      <c r="BL588" s="41"/>
      <c r="BM588" s="41"/>
      <c r="BN588" s="41"/>
      <c r="BO588" s="48"/>
      <c r="BP588" s="41"/>
      <c r="BQ588" s="48"/>
      <c r="BR588" s="46"/>
      <c r="BS588" s="48"/>
      <c r="BT588" s="41"/>
      <c r="BU588" s="48"/>
      <c r="BV588" s="41"/>
      <c r="BW588" s="48"/>
      <c r="CA588" s="46"/>
      <c r="CB588" s="49"/>
      <c r="CC588" s="49"/>
      <c r="CD588" s="46"/>
      <c r="CE588" s="49"/>
      <c r="CF588" s="46"/>
      <c r="CG588" s="46"/>
      <c r="CH588" s="46"/>
      <c r="CI588" s="46"/>
      <c r="CJ588" s="46"/>
      <c r="CK588" s="46"/>
      <c r="CL588" s="46"/>
      <c r="CM588" s="46"/>
      <c r="CN588" s="46"/>
      <c r="CO588" s="46"/>
      <c r="CP588" s="46"/>
      <c r="CQ588" s="46"/>
      <c r="CR588" s="46"/>
      <c r="CS588" s="46"/>
      <c r="CT588" s="46"/>
    </row>
    <row r="589" spans="1:98">
      <c r="A589" s="1" t="s">
        <v>251</v>
      </c>
      <c r="B589" s="50">
        <v>342</v>
      </c>
      <c r="C589" s="46" t="s">
        <v>500</v>
      </c>
      <c r="D589" s="63">
        <v>67.950699999999998</v>
      </c>
      <c r="E589" s="63">
        <v>4.9337</v>
      </c>
      <c r="J589" s="38" t="s">
        <v>256</v>
      </c>
      <c r="L589" s="1" t="s">
        <v>512</v>
      </c>
      <c r="M589" s="78" t="s">
        <v>869</v>
      </c>
      <c r="N589" s="78"/>
      <c r="O589" s="46"/>
      <c r="R589" s="47">
        <v>49.094117468722835</v>
      </c>
      <c r="S589" s="47">
        <v>2.7760656466641058</v>
      </c>
      <c r="T589" s="47">
        <v>14.57434464498656</v>
      </c>
      <c r="U589" s="47"/>
      <c r="V589" s="47">
        <v>13.280858984982922</v>
      </c>
      <c r="W589" s="47">
        <v>0.20116417729450048</v>
      </c>
      <c r="X589" s="47">
        <v>5.8639357681346889</v>
      </c>
      <c r="Y589" s="47">
        <v>10.178907371101722</v>
      </c>
      <c r="Z589" s="47">
        <v>2.8766477353113564</v>
      </c>
      <c r="AA589" s="47">
        <v>0.44256119004790101</v>
      </c>
      <c r="AB589" s="47">
        <v>0.25145522161812556</v>
      </c>
      <c r="AC589" s="9">
        <v>0.06</v>
      </c>
      <c r="AD589" s="23">
        <f t="shared" si="428"/>
        <v>99.600058208864738</v>
      </c>
      <c r="AE589" s="21">
        <f t="shared" si="429"/>
        <v>13.280858984982922</v>
      </c>
      <c r="AF589" s="23">
        <f t="shared" si="430"/>
        <v>0.44044476948273498</v>
      </c>
      <c r="AH589" s="16">
        <f t="shared" si="431"/>
        <v>49.320965199466464</v>
      </c>
      <c r="AI589" s="16">
        <f t="shared" si="432"/>
        <v>2.7888929307627004</v>
      </c>
      <c r="AJ589" s="16">
        <f t="shared" si="433"/>
        <v>14.641687886504183</v>
      </c>
      <c r="AK589" s="16">
        <f t="shared" si="434"/>
        <v>0</v>
      </c>
      <c r="AL589" s="16">
        <f t="shared" si="435"/>
        <v>13.342225455721271</v>
      </c>
      <c r="AM589" s="16">
        <f t="shared" si="436"/>
        <v>0.20209369063497837</v>
      </c>
      <c r="AN589" s="16">
        <f t="shared" si="437"/>
        <v>5.8910310820096194</v>
      </c>
      <c r="AO589" s="16">
        <f t="shared" si="438"/>
        <v>10.225940746129904</v>
      </c>
      <c r="AP589" s="16">
        <f t="shared" si="439"/>
        <v>2.8899397760801904</v>
      </c>
      <c r="AQ589" s="16">
        <f t="shared" si="440"/>
        <v>0.44460611939695233</v>
      </c>
      <c r="AR589" s="16">
        <f t="shared" si="441"/>
        <v>0.25261711329372288</v>
      </c>
      <c r="AS589" s="16">
        <f t="shared" si="442"/>
        <v>100</v>
      </c>
      <c r="AT589" s="16">
        <f t="shared" si="443"/>
        <v>13.342225455721271</v>
      </c>
      <c r="AY589" s="46"/>
      <c r="AZ589" s="41"/>
      <c r="BA589" s="48"/>
      <c r="BB589" s="41"/>
      <c r="BC589" s="48"/>
      <c r="BD589" s="41"/>
      <c r="BE589" s="48"/>
      <c r="BF589" s="41"/>
      <c r="BG589" s="48"/>
      <c r="BH589" s="41"/>
      <c r="BI589" s="48"/>
      <c r="BJ589" s="41"/>
      <c r="BK589" s="48"/>
      <c r="BL589" s="41"/>
      <c r="BM589" s="41"/>
      <c r="BN589" s="41"/>
      <c r="BO589" s="48"/>
      <c r="BP589" s="41"/>
      <c r="BQ589" s="48"/>
      <c r="BR589" s="46"/>
      <c r="BS589" s="48"/>
      <c r="BT589" s="41"/>
      <c r="BU589" s="48"/>
      <c r="BV589" s="41"/>
      <c r="BW589" s="48"/>
      <c r="CA589" s="46"/>
      <c r="CB589" s="49"/>
      <c r="CC589" s="49"/>
      <c r="CD589" s="46"/>
      <c r="CE589" s="49"/>
      <c r="CF589" s="46"/>
      <c r="CG589" s="46"/>
      <c r="CH589" s="46"/>
      <c r="CI589" s="46"/>
      <c r="CJ589" s="46"/>
      <c r="CK589" s="46"/>
      <c r="CL589" s="46"/>
      <c r="CM589" s="46"/>
      <c r="CN589" s="46"/>
      <c r="CO589" s="46"/>
      <c r="CP589" s="46"/>
      <c r="CQ589" s="46"/>
      <c r="CR589" s="46"/>
      <c r="CS589" s="46"/>
      <c r="CT589" s="46"/>
    </row>
    <row r="590" spans="1:98">
      <c r="A590" s="1" t="s">
        <v>251</v>
      </c>
      <c r="B590" s="50">
        <v>342</v>
      </c>
      <c r="C590" s="46" t="s">
        <v>501</v>
      </c>
      <c r="D590" s="63">
        <v>67.950699999999998</v>
      </c>
      <c r="E590" s="63">
        <v>4.9337</v>
      </c>
      <c r="J590" s="38" t="s">
        <v>256</v>
      </c>
      <c r="L590" s="1" t="s">
        <v>515</v>
      </c>
      <c r="M590" s="78" t="s">
        <v>870</v>
      </c>
      <c r="N590" s="78" t="s">
        <v>871</v>
      </c>
      <c r="O590" s="46"/>
      <c r="R590" s="47">
        <v>49.541155732058186</v>
      </c>
      <c r="S590" s="47">
        <v>3.1839303805162702</v>
      </c>
      <c r="T590" s="47">
        <v>15.238811443854603</v>
      </c>
      <c r="U590" s="47"/>
      <c r="V590" s="47">
        <v>11.051642622685092</v>
      </c>
      <c r="W590" s="47">
        <v>0.16019775499452932</v>
      </c>
      <c r="X590" s="47">
        <v>5.1763899582607289</v>
      </c>
      <c r="Y590" s="47">
        <v>11.404077683673057</v>
      </c>
      <c r="Z590" s="47">
        <v>2.7634112736556302</v>
      </c>
      <c r="AA590" s="47">
        <v>0.31038315030190056</v>
      </c>
      <c r="AB590" s="47">
        <v>0</v>
      </c>
      <c r="AD590" s="23">
        <f t="shared" si="428"/>
        <v>98.83</v>
      </c>
      <c r="AE590" s="21">
        <f t="shared" si="429"/>
        <v>11.051642622685092</v>
      </c>
      <c r="AF590" s="23">
        <f t="shared" si="430"/>
        <v>0.45504037855946955</v>
      </c>
      <c r="AH590" s="16">
        <f t="shared" si="431"/>
        <v>50.127649228026094</v>
      </c>
      <c r="AI590" s="16">
        <f t="shared" si="432"/>
        <v>3.2216233739919762</v>
      </c>
      <c r="AJ590" s="16">
        <f t="shared" si="433"/>
        <v>15.419216274263487</v>
      </c>
      <c r="AK590" s="16">
        <f t="shared" si="434"/>
        <v>0</v>
      </c>
      <c r="AL590" s="16">
        <f t="shared" si="435"/>
        <v>11.182477610730642</v>
      </c>
      <c r="AM590" s="16">
        <f t="shared" si="436"/>
        <v>0.16209425781091708</v>
      </c>
      <c r="AN590" s="16">
        <f t="shared" si="437"/>
        <v>5.2376707055152574</v>
      </c>
      <c r="AO590" s="16">
        <f t="shared" si="438"/>
        <v>11.539084977914658</v>
      </c>
      <c r="AP590" s="16">
        <f t="shared" si="439"/>
        <v>2.7961259472383184</v>
      </c>
      <c r="AQ590" s="16">
        <f t="shared" si="440"/>
        <v>0.31405762450865177</v>
      </c>
      <c r="AR590" s="16">
        <f t="shared" si="441"/>
        <v>0</v>
      </c>
      <c r="AS590" s="16">
        <f t="shared" si="442"/>
        <v>100</v>
      </c>
      <c r="AT590" s="16">
        <f t="shared" si="443"/>
        <v>11.182477610730642</v>
      </c>
      <c r="AY590" s="46">
        <v>44</v>
      </c>
      <c r="AZ590" s="41"/>
      <c r="BA590" s="48"/>
      <c r="BB590" s="41"/>
      <c r="BC590" s="48">
        <v>160</v>
      </c>
      <c r="BD590" s="41"/>
      <c r="BE590" s="48">
        <v>73</v>
      </c>
      <c r="BF590" s="41"/>
      <c r="BG590" s="48"/>
      <c r="BH590" s="41"/>
      <c r="BI590" s="48"/>
      <c r="BJ590" s="41"/>
      <c r="BK590" s="48"/>
      <c r="BL590" s="41"/>
      <c r="BM590" s="41"/>
      <c r="BN590" s="41"/>
      <c r="BO590" s="48">
        <v>7.8</v>
      </c>
      <c r="BP590" s="41"/>
      <c r="BQ590" s="48">
        <v>241</v>
      </c>
      <c r="BR590" s="46"/>
      <c r="BS590" s="48">
        <v>42</v>
      </c>
      <c r="BT590" s="41"/>
      <c r="BU590" s="48">
        <v>180</v>
      </c>
      <c r="BV590" s="41"/>
      <c r="BW590" s="48"/>
      <c r="CA590" s="49"/>
      <c r="CB590" s="49">
        <v>16.2</v>
      </c>
      <c r="CC590" s="49">
        <v>43.1</v>
      </c>
      <c r="CD590" s="46"/>
      <c r="CE590" s="46">
        <v>26.8</v>
      </c>
      <c r="CF590" s="46">
        <v>7.4</v>
      </c>
      <c r="CG590" s="46">
        <v>2.2999999999999998</v>
      </c>
      <c r="CH590" s="46"/>
      <c r="CI590" s="46">
        <v>1.5</v>
      </c>
      <c r="CJ590" s="46"/>
      <c r="CK590" s="46"/>
      <c r="CL590" s="46"/>
      <c r="CM590" s="46"/>
      <c r="CN590" s="46">
        <v>3.7</v>
      </c>
      <c r="CO590" s="46">
        <v>0.49</v>
      </c>
      <c r="CP590" s="46"/>
      <c r="CQ590" s="46"/>
      <c r="CR590" s="49"/>
      <c r="CS590" s="46"/>
      <c r="CT590" s="46"/>
    </row>
    <row r="591" spans="1:98">
      <c r="A591" s="1" t="s">
        <v>251</v>
      </c>
      <c r="B591" s="50">
        <v>342</v>
      </c>
      <c r="C591" s="46" t="s">
        <v>502</v>
      </c>
      <c r="D591" s="63">
        <v>67.950699999999998</v>
      </c>
      <c r="E591" s="63">
        <v>4.9337</v>
      </c>
      <c r="J591" s="38" t="s">
        <v>256</v>
      </c>
      <c r="L591" s="1" t="s">
        <v>512</v>
      </c>
      <c r="M591" s="78" t="s">
        <v>869</v>
      </c>
      <c r="N591" s="78"/>
      <c r="O591" s="46"/>
      <c r="R591" s="47">
        <v>49.737550266054676</v>
      </c>
      <c r="S591" s="47">
        <v>2.9660932613022464</v>
      </c>
      <c r="T591" s="47">
        <v>14.457182460701086</v>
      </c>
      <c r="U591" s="47"/>
      <c r="V591" s="47">
        <v>12.748147772045982</v>
      </c>
      <c r="W591" s="47">
        <v>0.19168629919980507</v>
      </c>
      <c r="X591" s="47">
        <v>5.7808552337625416</v>
      </c>
      <c r="Y591" s="47">
        <v>9.8768887850846898</v>
      </c>
      <c r="Z591" s="47">
        <v>2.7844957146919049</v>
      </c>
      <c r="AA591" s="47">
        <v>0.68603517608351283</v>
      </c>
      <c r="AB591" s="47">
        <v>0.27239631991551244</v>
      </c>
      <c r="AC591" s="9">
        <v>0.28999999999999998</v>
      </c>
      <c r="AD591" s="23">
        <f t="shared" si="428"/>
        <v>99.791331288841945</v>
      </c>
      <c r="AE591" s="21">
        <f t="shared" si="429"/>
        <v>12.748147772045982</v>
      </c>
      <c r="AF591" s="23">
        <f t="shared" si="430"/>
        <v>0.44702736110790775</v>
      </c>
      <c r="AH591" s="16">
        <f t="shared" si="431"/>
        <v>49.986818891570181</v>
      </c>
      <c r="AI591" s="16">
        <f t="shared" si="432"/>
        <v>2.9809583679759908</v>
      </c>
      <c r="AJ591" s="16">
        <f t="shared" si="433"/>
        <v>14.529637215338758</v>
      </c>
      <c r="AK591" s="16">
        <f t="shared" si="434"/>
        <v>0</v>
      </c>
      <c r="AL591" s="16">
        <f t="shared" si="435"/>
        <v>12.812037393790686</v>
      </c>
      <c r="AM591" s="16">
        <f t="shared" si="436"/>
        <v>0.19264696935899261</v>
      </c>
      <c r="AN591" s="16">
        <f t="shared" si="437"/>
        <v>5.8098270233001452</v>
      </c>
      <c r="AO591" s="16">
        <f t="shared" si="438"/>
        <v>9.9263885790765123</v>
      </c>
      <c r="AP591" s="16">
        <f t="shared" si="439"/>
        <v>2.7984507127937874</v>
      </c>
      <c r="AQ591" s="16">
        <f t="shared" si="440"/>
        <v>0.68947336402165771</v>
      </c>
      <c r="AR591" s="16">
        <f t="shared" si="441"/>
        <v>0.27376148277330531</v>
      </c>
      <c r="AS591" s="16">
        <f t="shared" si="442"/>
        <v>100.00000000000003</v>
      </c>
      <c r="AT591" s="16">
        <f t="shared" si="443"/>
        <v>12.812037393790686</v>
      </c>
      <c r="AY591" s="46"/>
      <c r="AZ591" s="41"/>
      <c r="BA591" s="48"/>
      <c r="BB591" s="41"/>
      <c r="BC591" s="48"/>
      <c r="BD591" s="41"/>
      <c r="BE591" s="48"/>
      <c r="BF591" s="41"/>
      <c r="BG591" s="48"/>
      <c r="BH591" s="41"/>
      <c r="BI591" s="48"/>
      <c r="BJ591" s="41"/>
      <c r="BK591" s="48"/>
      <c r="BL591" s="41"/>
      <c r="BM591" s="41"/>
      <c r="BN591" s="41"/>
      <c r="BO591" s="48"/>
      <c r="BP591" s="41"/>
      <c r="BQ591" s="48"/>
      <c r="BR591" s="46"/>
      <c r="BS591" s="48"/>
      <c r="BT591" s="41"/>
      <c r="BU591" s="48"/>
      <c r="BV591" s="41"/>
      <c r="BW591" s="48"/>
      <c r="CA591" s="46"/>
      <c r="CB591" s="49"/>
      <c r="CC591" s="49"/>
      <c r="CD591" s="46"/>
      <c r="CE591" s="49"/>
      <c r="CF591" s="46"/>
      <c r="CG591" s="46"/>
      <c r="CH591" s="46"/>
      <c r="CI591" s="46"/>
      <c r="CJ591" s="46"/>
      <c r="CK591" s="46"/>
      <c r="CL591" s="46"/>
      <c r="CM591" s="46"/>
      <c r="CN591" s="46"/>
      <c r="CO591" s="46"/>
      <c r="CP591" s="46"/>
      <c r="CQ591" s="46"/>
      <c r="CR591" s="46"/>
      <c r="CS591" s="46"/>
      <c r="CT591" s="46"/>
    </row>
    <row r="592" spans="1:98">
      <c r="A592" s="1" t="s">
        <v>251</v>
      </c>
      <c r="B592" s="50">
        <v>342</v>
      </c>
      <c r="C592" s="46" t="s">
        <v>503</v>
      </c>
      <c r="D592" s="63">
        <v>67.950699999999998</v>
      </c>
      <c r="E592" s="63">
        <v>4.9337</v>
      </c>
      <c r="J592" s="38" t="s">
        <v>256</v>
      </c>
      <c r="L592" s="1" t="s">
        <v>515</v>
      </c>
      <c r="M592" s="78" t="s">
        <v>870</v>
      </c>
      <c r="N592" s="78" t="s">
        <v>871</v>
      </c>
      <c r="O592" s="46"/>
      <c r="R592" s="47">
        <v>50.140906050471266</v>
      </c>
      <c r="S592" s="47">
        <v>3.1838674369109157</v>
      </c>
      <c r="T592" s="47">
        <v>14.82801155366373</v>
      </c>
      <c r="U592" s="47"/>
      <c r="V592" s="47">
        <v>10.823146853146854</v>
      </c>
      <c r="W592" s="47">
        <v>0.1702067497719672</v>
      </c>
      <c r="X592" s="47">
        <v>5.1162146549103076</v>
      </c>
      <c r="Y592" s="47">
        <v>11.223633323198543</v>
      </c>
      <c r="Z592" s="47">
        <v>2.9235512313773184</v>
      </c>
      <c r="AA592" s="47">
        <v>0.3804621465491031</v>
      </c>
      <c r="AB592" s="47">
        <v>0</v>
      </c>
      <c r="AD592" s="23">
        <f t="shared" si="428"/>
        <v>98.79</v>
      </c>
      <c r="AE592" s="21">
        <f t="shared" si="429"/>
        <v>10.823146853146854</v>
      </c>
      <c r="AF592" s="23">
        <f t="shared" si="430"/>
        <v>0.4573224490967378</v>
      </c>
      <c r="AH592" s="16">
        <f t="shared" si="431"/>
        <v>50.755042059389879</v>
      </c>
      <c r="AI592" s="16">
        <f t="shared" si="432"/>
        <v>3.2228640924293099</v>
      </c>
      <c r="AJ592" s="16">
        <f t="shared" si="433"/>
        <v>15.009628053106315</v>
      </c>
      <c r="AK592" s="16">
        <f t="shared" si="434"/>
        <v>0</v>
      </c>
      <c r="AL592" s="16">
        <f t="shared" si="435"/>
        <v>10.955710955710956</v>
      </c>
      <c r="AM592" s="16">
        <f t="shared" si="436"/>
        <v>0.17229147663930275</v>
      </c>
      <c r="AN592" s="16">
        <f t="shared" si="437"/>
        <v>5.1788790919225702</v>
      </c>
      <c r="AO592" s="16">
        <f t="shared" si="438"/>
        <v>11.361102665450494</v>
      </c>
      <c r="AP592" s="16">
        <f t="shared" si="439"/>
        <v>2.9593594810986112</v>
      </c>
      <c r="AQ592" s="16">
        <f t="shared" si="440"/>
        <v>0.38512212425255904</v>
      </c>
      <c r="AR592" s="16">
        <f t="shared" si="441"/>
        <v>0</v>
      </c>
      <c r="AS592" s="16">
        <f t="shared" si="442"/>
        <v>100</v>
      </c>
      <c r="AT592" s="16">
        <f t="shared" si="443"/>
        <v>10.955710955710956</v>
      </c>
      <c r="AY592" s="46">
        <v>43</v>
      </c>
      <c r="AZ592" s="41"/>
      <c r="BA592" s="48"/>
      <c r="BB592" s="41"/>
      <c r="BC592" s="48">
        <v>168</v>
      </c>
      <c r="BD592" s="41"/>
      <c r="BE592" s="48">
        <v>48</v>
      </c>
      <c r="BF592" s="41"/>
      <c r="BG592" s="48"/>
      <c r="BH592" s="41"/>
      <c r="BI592" s="48"/>
      <c r="BJ592" s="41"/>
      <c r="BK592" s="48"/>
      <c r="BL592" s="41"/>
      <c r="BM592" s="41"/>
      <c r="BN592" s="41"/>
      <c r="BO592" s="48">
        <v>3.4</v>
      </c>
      <c r="BP592" s="41"/>
      <c r="BQ592" s="48">
        <v>209</v>
      </c>
      <c r="BR592" s="46"/>
      <c r="BS592" s="48">
        <v>36</v>
      </c>
      <c r="BT592" s="41"/>
      <c r="BU592" s="48">
        <v>189</v>
      </c>
      <c r="BV592" s="41"/>
      <c r="BW592" s="48"/>
      <c r="CA592" s="49"/>
      <c r="CB592" s="49">
        <v>15.4</v>
      </c>
      <c r="CC592" s="49">
        <v>39.6</v>
      </c>
      <c r="CD592" s="46"/>
      <c r="CE592" s="46">
        <v>26.3</v>
      </c>
      <c r="CF592" s="46">
        <v>7</v>
      </c>
      <c r="CG592" s="46">
        <v>2.2000000000000002</v>
      </c>
      <c r="CH592" s="46"/>
      <c r="CI592" s="46">
        <v>1.5</v>
      </c>
      <c r="CJ592" s="46"/>
      <c r="CK592" s="46"/>
      <c r="CL592" s="46">
        <v>0.88</v>
      </c>
      <c r="CM592" s="46"/>
      <c r="CN592" s="46">
        <v>3.6</v>
      </c>
      <c r="CO592" s="46">
        <v>0.52</v>
      </c>
      <c r="CP592" s="46"/>
      <c r="CQ592" s="46"/>
      <c r="CR592" s="49"/>
      <c r="CS592" s="46"/>
      <c r="CT592" s="46"/>
    </row>
    <row r="593" spans="1:98">
      <c r="A593" s="1" t="s">
        <v>251</v>
      </c>
      <c r="B593" s="50">
        <v>342</v>
      </c>
      <c r="C593" s="46" t="s">
        <v>504</v>
      </c>
      <c r="D593" s="63">
        <v>67.950699999999998</v>
      </c>
      <c r="E593" s="63">
        <v>4.9337</v>
      </c>
      <c r="J593" s="38" t="s">
        <v>256</v>
      </c>
      <c r="L593" s="1" t="s">
        <v>512</v>
      </c>
      <c r="M593" s="78" t="s">
        <v>869</v>
      </c>
      <c r="N593" s="78"/>
      <c r="O593" s="46"/>
      <c r="R593" s="47">
        <v>50.1733887271551</v>
      </c>
      <c r="S593" s="47">
        <v>2.8253952369399968</v>
      </c>
      <c r="T593" s="47">
        <v>14.599551188743328</v>
      </c>
      <c r="U593" s="47"/>
      <c r="V593" s="47">
        <v>12.908335961507358</v>
      </c>
      <c r="W593" s="47">
        <v>0</v>
      </c>
      <c r="X593" s="47">
        <v>5.7513383470807051</v>
      </c>
      <c r="Y593" s="47">
        <v>10.386595301633513</v>
      </c>
      <c r="Z593" s="47">
        <v>2.5338064046579332</v>
      </c>
      <c r="AA593" s="47">
        <v>0.34186276888241957</v>
      </c>
      <c r="AB593" s="47">
        <v>0</v>
      </c>
      <c r="AC593" s="9">
        <v>0.05</v>
      </c>
      <c r="AD593" s="23">
        <f t="shared" si="428"/>
        <v>99.570273936600373</v>
      </c>
      <c r="AE593" s="21">
        <f t="shared" si="429"/>
        <v>12.908335961507358</v>
      </c>
      <c r="AF593" s="23">
        <f t="shared" si="430"/>
        <v>0.44267934253812818</v>
      </c>
      <c r="AH593" s="16">
        <f t="shared" si="431"/>
        <v>50.415243791549621</v>
      </c>
      <c r="AI593" s="16">
        <f t="shared" si="432"/>
        <v>2.8390147305461815</v>
      </c>
      <c r="AJ593" s="16">
        <f t="shared" si="433"/>
        <v>14.669926650366746</v>
      </c>
      <c r="AK593" s="16">
        <f t="shared" si="434"/>
        <v>0</v>
      </c>
      <c r="AL593" s="16">
        <f t="shared" si="435"/>
        <v>12.970559114146575</v>
      </c>
      <c r="AM593" s="16">
        <f t="shared" si="436"/>
        <v>0</v>
      </c>
      <c r="AN593" s="16">
        <f t="shared" si="437"/>
        <v>5.7790620137808384</v>
      </c>
      <c r="AO593" s="16">
        <f t="shared" si="438"/>
        <v>10.436662692719594</v>
      </c>
      <c r="AP593" s="16">
        <f t="shared" si="439"/>
        <v>2.5460203277496003</v>
      </c>
      <c r="AQ593" s="16">
        <f t="shared" si="440"/>
        <v>0.34351067914081912</v>
      </c>
      <c r="AR593" s="16">
        <f t="shared" si="441"/>
        <v>0</v>
      </c>
      <c r="AS593" s="16">
        <f t="shared" si="442"/>
        <v>99.999999999999986</v>
      </c>
      <c r="AT593" s="16">
        <f t="shared" si="443"/>
        <v>12.970559114146575</v>
      </c>
      <c r="AY593" s="46"/>
      <c r="AZ593" s="41"/>
      <c r="BA593" s="48"/>
      <c r="BB593" s="41"/>
      <c r="BC593" s="48"/>
      <c r="BD593" s="41"/>
      <c r="BE593" s="48"/>
      <c r="BF593" s="41"/>
      <c r="BG593" s="48"/>
      <c r="BH593" s="41"/>
      <c r="BI593" s="48"/>
      <c r="BJ593" s="41"/>
      <c r="BK593" s="48"/>
      <c r="BL593" s="41"/>
      <c r="BM593" s="41"/>
      <c r="BN593" s="41"/>
      <c r="BO593" s="48"/>
      <c r="BP593" s="41"/>
      <c r="BQ593" s="48"/>
      <c r="BR593" s="46"/>
      <c r="BS593" s="48"/>
      <c r="BT593" s="41"/>
      <c r="BU593" s="48"/>
      <c r="BV593" s="41"/>
      <c r="BW593" s="48"/>
      <c r="CA593" s="46"/>
      <c r="CB593" s="49"/>
      <c r="CC593" s="49"/>
      <c r="CD593" s="46"/>
      <c r="CE593" s="49"/>
      <c r="CF593" s="46"/>
      <c r="CG593" s="46"/>
      <c r="CH593" s="46"/>
      <c r="CI593" s="46"/>
      <c r="CJ593" s="46"/>
      <c r="CK593" s="46"/>
      <c r="CL593" s="46"/>
      <c r="CM593" s="46"/>
      <c r="CN593" s="46"/>
      <c r="CO593" s="46"/>
      <c r="CP593" s="46"/>
      <c r="CQ593" s="46"/>
      <c r="CR593" s="46"/>
      <c r="CS593" s="46"/>
      <c r="CT593" s="46"/>
    </row>
    <row r="594" spans="1:98">
      <c r="A594" s="57" t="s">
        <v>648</v>
      </c>
      <c r="B594" s="50"/>
      <c r="C594" s="46"/>
      <c r="J594" s="38"/>
      <c r="O594" s="46"/>
      <c r="R594" s="47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6"/>
      <c r="AD594" s="23"/>
      <c r="AF594" s="23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Y594" s="51"/>
      <c r="AZ594" s="41"/>
      <c r="BA594" s="48"/>
      <c r="BB594" s="41"/>
      <c r="BC594" s="48"/>
      <c r="BD594" s="41"/>
      <c r="BE594" s="48"/>
      <c r="BF594" s="41"/>
      <c r="BG594" s="48"/>
      <c r="BH594" s="41"/>
      <c r="BI594" s="48"/>
      <c r="BJ594" s="41"/>
      <c r="BK594" s="48"/>
      <c r="BL594" s="41"/>
      <c r="BM594" s="41"/>
      <c r="BN594" s="41"/>
      <c r="BO594" s="48"/>
      <c r="BP594" s="41"/>
      <c r="BQ594" s="48"/>
      <c r="BR594" s="51"/>
      <c r="BS594" s="48"/>
      <c r="BT594" s="41"/>
      <c r="BU594" s="48"/>
      <c r="BV594" s="41"/>
      <c r="BW594" s="48"/>
      <c r="CA594" s="51"/>
      <c r="CB594" s="47"/>
      <c r="CC594" s="47"/>
      <c r="CD594" s="47"/>
      <c r="CE594" s="47"/>
      <c r="CF594" s="47"/>
      <c r="CG594" s="47"/>
      <c r="CH594" s="47"/>
      <c r="CI594" s="47"/>
      <c r="CJ594" s="47"/>
      <c r="CK594" s="47"/>
      <c r="CL594" s="47"/>
      <c r="CM594" s="47"/>
      <c r="CN594" s="47"/>
      <c r="CO594" s="47"/>
      <c r="CP594" s="47"/>
      <c r="CQ594" s="47"/>
      <c r="CR594" s="47"/>
      <c r="CS594" s="47"/>
      <c r="CT594" s="47"/>
    </row>
    <row r="595" spans="1:98">
      <c r="A595" s="1" t="s">
        <v>251</v>
      </c>
      <c r="B595" s="50">
        <v>343</v>
      </c>
      <c r="C595" s="46" t="s">
        <v>505</v>
      </c>
      <c r="D595" s="63">
        <v>68.715199999999996</v>
      </c>
      <c r="E595" s="63">
        <v>5.7622</v>
      </c>
      <c r="J595" s="38" t="s">
        <v>256</v>
      </c>
      <c r="L595" s="1" t="s">
        <v>512</v>
      </c>
      <c r="M595" s="78" t="s">
        <v>869</v>
      </c>
      <c r="N595" s="78"/>
      <c r="O595" s="46"/>
      <c r="R595" s="47">
        <v>46.8170089811927</v>
      </c>
      <c r="S595" s="47">
        <v>3.355031449821106</v>
      </c>
      <c r="T595" s="47">
        <v>15.03626899767386</v>
      </c>
      <c r="U595" s="47"/>
      <c r="V595" s="47">
        <v>17.314212607049349</v>
      </c>
      <c r="W595" s="47">
        <v>0.52166647542950129</v>
      </c>
      <c r="X595" s="47">
        <v>6.6793766363816536</v>
      </c>
      <c r="Y595" s="47">
        <v>4.4188219095204815</v>
      </c>
      <c r="Z595" s="47">
        <v>3.8869266796707937</v>
      </c>
      <c r="AA595" s="47">
        <v>0.45006519448819715</v>
      </c>
      <c r="AB595" s="47">
        <v>0.33754889586614789</v>
      </c>
      <c r="AC595" s="9">
        <v>1.05</v>
      </c>
      <c r="AD595" s="23">
        <f t="shared" si="428"/>
        <v>99.866927827093789</v>
      </c>
      <c r="AE595" s="21">
        <f t="shared" si="429"/>
        <v>17.314212607049349</v>
      </c>
      <c r="AF595" s="23">
        <f t="shared" si="430"/>
        <v>0.40748854020963549</v>
      </c>
      <c r="AH595" s="16">
        <f t="shared" ref="AH595:AH601" si="444">100*R595/SUM($R595:$AB595)</f>
        <v>47.377519227385186</v>
      </c>
      <c r="AI595" s="16">
        <f t="shared" ref="AI595:AI601" si="445">100*S595/SUM($R595:$AB595)</f>
        <v>3.3951991056548692</v>
      </c>
      <c r="AJ595" s="16">
        <f t="shared" ref="AJ595:AJ601" si="446">100*T595/SUM($R595:$AB595)</f>
        <v>15.216288674733713</v>
      </c>
      <c r="AK595" s="16">
        <f t="shared" ref="AK595:AK601" si="447">100*U595/SUM($R595:$AB595)</f>
        <v>0</v>
      </c>
      <c r="AL595" s="16">
        <f t="shared" ref="AL595:AL601" si="448">100*V595/SUM($R595:$AB595)</f>
        <v>17.521504652871943</v>
      </c>
      <c r="AM595" s="16">
        <f t="shared" ref="AM595:AM601" si="449">100*W595/SUM($R595:$AB595)</f>
        <v>0.52791205606219005</v>
      </c>
      <c r="AN595" s="16">
        <f t="shared" ref="AN595:AN601" si="450">100*X595/SUM($R595:$AB595)</f>
        <v>6.7593445609531386</v>
      </c>
      <c r="AO595" s="16">
        <f t="shared" ref="AO595:AO601" si="451">100*Y595/SUM($R595:$AB595)</f>
        <v>4.4717256513503161</v>
      </c>
      <c r="AP595" s="16">
        <f t="shared" ref="AP595:AP601" si="452">100*Z595/SUM($R595:$AB595)</f>
        <v>3.9334623785025928</v>
      </c>
      <c r="AQ595" s="16">
        <f t="shared" ref="AQ595:AQ601" si="453">100*AA595/SUM($R595:$AB595)</f>
        <v>0.4554535385634581</v>
      </c>
      <c r="AR595" s="16">
        <f t="shared" ref="AR595:AR601" si="454">100*AB595/SUM($R595:$AB595)</f>
        <v>0.34159015392259356</v>
      </c>
      <c r="AS595" s="16">
        <f t="shared" ref="AS595:AS601" si="455">SUM(AH595:AR595)</f>
        <v>100</v>
      </c>
      <c r="AT595" s="16">
        <f t="shared" ref="AT595:AT601" si="456">AL595+0.899*AK595</f>
        <v>17.521504652871943</v>
      </c>
      <c r="AY595" s="46"/>
      <c r="AZ595" s="41"/>
      <c r="BA595" s="48"/>
      <c r="BB595" s="41"/>
      <c r="BC595" s="48"/>
      <c r="BD595" s="41"/>
      <c r="BE595" s="48"/>
      <c r="BF595" s="41"/>
      <c r="BG595" s="48"/>
      <c r="BH595" s="41"/>
      <c r="BI595" s="48"/>
      <c r="BJ595" s="41"/>
      <c r="BK595" s="48"/>
      <c r="BL595" s="41"/>
      <c r="BM595" s="41"/>
      <c r="BN595" s="41"/>
      <c r="BO595" s="48"/>
      <c r="BP595" s="41"/>
      <c r="BQ595" s="48"/>
      <c r="BR595" s="46"/>
      <c r="BS595" s="48"/>
      <c r="BT595" s="41"/>
      <c r="BU595" s="48"/>
      <c r="BV595" s="41"/>
      <c r="BW595" s="48"/>
      <c r="CA595" s="46"/>
      <c r="CB595" s="49"/>
      <c r="CC595" s="49"/>
      <c r="CD595" s="46"/>
      <c r="CE595" s="49"/>
      <c r="CF595" s="46"/>
      <c r="CG595" s="46"/>
      <c r="CH595" s="46"/>
      <c r="CI595" s="46"/>
      <c r="CJ595" s="46"/>
      <c r="CK595" s="46"/>
      <c r="CL595" s="46"/>
      <c r="CM595" s="46"/>
      <c r="CN595" s="46"/>
      <c r="CO595" s="46"/>
      <c r="CP595" s="46"/>
      <c r="CQ595" s="46"/>
      <c r="CR595" s="46"/>
      <c r="CS595" s="46"/>
      <c r="CT595" s="46"/>
    </row>
    <row r="596" spans="1:98">
      <c r="A596" s="1" t="s">
        <v>251</v>
      </c>
      <c r="B596" s="50">
        <v>343</v>
      </c>
      <c r="C596" s="46" t="s">
        <v>506</v>
      </c>
      <c r="D596" s="63">
        <v>68.715199999999996</v>
      </c>
      <c r="E596" s="63">
        <v>5.7622</v>
      </c>
      <c r="J596" s="38" t="s">
        <v>256</v>
      </c>
      <c r="L596" s="1" t="s">
        <v>512</v>
      </c>
      <c r="M596" s="78" t="s">
        <v>869</v>
      </c>
      <c r="N596" s="78"/>
      <c r="O596" s="46"/>
      <c r="R596" s="47">
        <v>46.073166084471261</v>
      </c>
      <c r="S596" s="47">
        <v>3.3102117074203452</v>
      </c>
      <c r="T596" s="47">
        <v>14.527574891499947</v>
      </c>
      <c r="U596" s="47"/>
      <c r="V596" s="47">
        <v>17.785902402879223</v>
      </c>
      <c r="W596" s="47">
        <v>0.6122335132846406</v>
      </c>
      <c r="X596" s="47">
        <v>7.2949179633746164</v>
      </c>
      <c r="Y596" s="47">
        <v>4.9186217846935536</v>
      </c>
      <c r="Z596" s="47">
        <v>3.756415793373558</v>
      </c>
      <c r="AA596" s="47">
        <v>0.6226103524928549</v>
      </c>
      <c r="AB596" s="47">
        <v>0.34243569387107026</v>
      </c>
      <c r="AC596" s="9">
        <v>2.48</v>
      </c>
      <c r="AD596" s="23">
        <f t="shared" si="428"/>
        <v>101.72409018736107</v>
      </c>
      <c r="AE596" s="21">
        <f t="shared" si="429"/>
        <v>17.785902402879223</v>
      </c>
      <c r="AF596" s="23">
        <f t="shared" si="430"/>
        <v>0.42236249626318773</v>
      </c>
      <c r="AH596" s="16">
        <f t="shared" si="444"/>
        <v>46.424090338770384</v>
      </c>
      <c r="AI596" s="16">
        <f t="shared" si="445"/>
        <v>3.3354245085738188</v>
      </c>
      <c r="AJ596" s="16">
        <f t="shared" si="446"/>
        <v>14.638226683396068</v>
      </c>
      <c r="AK596" s="16">
        <f t="shared" si="447"/>
        <v>0</v>
      </c>
      <c r="AL596" s="16">
        <f t="shared" si="448"/>
        <v>17.921371810957762</v>
      </c>
      <c r="AM596" s="16">
        <f t="shared" si="449"/>
        <v>0.61689669594312002</v>
      </c>
      <c r="AN596" s="16">
        <f t="shared" si="450"/>
        <v>7.3504809703053118</v>
      </c>
      <c r="AO596" s="16">
        <f t="shared" si="451"/>
        <v>4.9560853199498114</v>
      </c>
      <c r="AP596" s="16">
        <f t="shared" si="452"/>
        <v>3.7850271852781265</v>
      </c>
      <c r="AQ596" s="16">
        <f t="shared" si="453"/>
        <v>0.62735257214554585</v>
      </c>
      <c r="AR596" s="16">
        <f t="shared" si="454"/>
        <v>0.34504391468005025</v>
      </c>
      <c r="AS596" s="16">
        <f t="shared" si="455"/>
        <v>99.999999999999986</v>
      </c>
      <c r="AT596" s="16">
        <f t="shared" si="456"/>
        <v>17.921371810957762</v>
      </c>
      <c r="AY596" s="46"/>
      <c r="AZ596" s="41"/>
      <c r="BA596" s="48"/>
      <c r="BB596" s="41"/>
      <c r="BC596" s="48"/>
      <c r="BD596" s="41"/>
      <c r="BE596" s="48"/>
      <c r="BF596" s="41"/>
      <c r="BG596" s="48"/>
      <c r="BH596" s="41"/>
      <c r="BI596" s="48"/>
      <c r="BJ596" s="41"/>
      <c r="BK596" s="48"/>
      <c r="BL596" s="41"/>
      <c r="BM596" s="41"/>
      <c r="BN596" s="41"/>
      <c r="BO596" s="48"/>
      <c r="BP596" s="41"/>
      <c r="BQ596" s="48"/>
      <c r="BR596" s="46"/>
      <c r="BS596" s="48"/>
      <c r="BT596" s="41"/>
      <c r="BU596" s="48"/>
      <c r="BV596" s="41"/>
      <c r="BW596" s="48"/>
      <c r="CA596" s="46"/>
      <c r="CB596" s="49"/>
      <c r="CC596" s="49"/>
      <c r="CD596" s="46"/>
      <c r="CE596" s="49"/>
      <c r="CF596" s="46"/>
      <c r="CG596" s="46"/>
      <c r="CH596" s="46"/>
      <c r="CI596" s="46"/>
      <c r="CJ596" s="46"/>
      <c r="CK596" s="46"/>
      <c r="CL596" s="46"/>
      <c r="CM596" s="46"/>
      <c r="CN596" s="46"/>
      <c r="CO596" s="46"/>
      <c r="CP596" s="46"/>
      <c r="CQ596" s="46"/>
      <c r="CR596" s="46"/>
      <c r="CS596" s="46"/>
      <c r="CT596" s="46"/>
    </row>
    <row r="597" spans="1:98">
      <c r="A597" s="1" t="s">
        <v>251</v>
      </c>
      <c r="B597" s="50">
        <v>343</v>
      </c>
      <c r="C597" s="46" t="s">
        <v>507</v>
      </c>
      <c r="D597" s="63">
        <v>68.715199999999996</v>
      </c>
      <c r="E597" s="63">
        <v>5.7622</v>
      </c>
      <c r="J597" s="38" t="s">
        <v>256</v>
      </c>
      <c r="L597" s="1" t="s">
        <v>512</v>
      </c>
      <c r="M597" s="78" t="s">
        <v>869</v>
      </c>
      <c r="N597" s="78"/>
      <c r="O597" s="46"/>
      <c r="R597" s="47">
        <v>46.432269402488835</v>
      </c>
      <c r="S597" s="47">
        <v>3.3187992780469271</v>
      </c>
      <c r="T597" s="47">
        <v>15.377790443621164</v>
      </c>
      <c r="U597" s="47"/>
      <c r="V597" s="47">
        <v>17.421634843735156</v>
      </c>
      <c r="W597" s="47">
        <v>0.54626199297045697</v>
      </c>
      <c r="X597" s="47">
        <v>7.1323263987840786</v>
      </c>
      <c r="Y597" s="47">
        <v>4.4319369240999329</v>
      </c>
      <c r="Z597" s="47">
        <v>3.6486178398404103</v>
      </c>
      <c r="AA597" s="47">
        <v>0.45350052246603967</v>
      </c>
      <c r="AB597" s="47">
        <v>0.34012539184952978</v>
      </c>
      <c r="AC597" s="9">
        <v>1.9</v>
      </c>
      <c r="AD597" s="23">
        <f t="shared" si="428"/>
        <v>101.00326303790251</v>
      </c>
      <c r="AE597" s="21">
        <f t="shared" si="429"/>
        <v>17.421634843735156</v>
      </c>
      <c r="AF597" s="23">
        <f t="shared" si="430"/>
        <v>0.42191190882298624</v>
      </c>
      <c r="AH597" s="16">
        <f t="shared" si="444"/>
        <v>46.852412301228263</v>
      </c>
      <c r="AI597" s="16">
        <f t="shared" si="445"/>
        <v>3.3488294696993348</v>
      </c>
      <c r="AJ597" s="16">
        <f t="shared" si="446"/>
        <v>15.516936549041635</v>
      </c>
      <c r="AK597" s="16">
        <f t="shared" si="447"/>
        <v>0</v>
      </c>
      <c r="AL597" s="16">
        <f t="shared" si="448"/>
        <v>17.579274697617343</v>
      </c>
      <c r="AM597" s="16">
        <f t="shared" si="449"/>
        <v>0.55120485060268554</v>
      </c>
      <c r="AN597" s="16">
        <f t="shared" si="450"/>
        <v>7.196863332397327</v>
      </c>
      <c r="AO597" s="16">
        <f t="shared" si="451"/>
        <v>4.4720393539463155</v>
      </c>
      <c r="AP597" s="16">
        <f t="shared" si="452"/>
        <v>3.6816323983651067</v>
      </c>
      <c r="AQ597" s="16">
        <f t="shared" si="453"/>
        <v>0.45760402691543695</v>
      </c>
      <c r="AR597" s="16">
        <f t="shared" si="454"/>
        <v>0.34320302018657772</v>
      </c>
      <c r="AS597" s="16">
        <f t="shared" si="455"/>
        <v>100.00000000000003</v>
      </c>
      <c r="AT597" s="16">
        <f t="shared" si="456"/>
        <v>17.579274697617343</v>
      </c>
      <c r="AY597" s="46"/>
      <c r="AZ597" s="41"/>
      <c r="BA597" s="48"/>
      <c r="BB597" s="41"/>
      <c r="BC597" s="48"/>
      <c r="BD597" s="41"/>
      <c r="BE597" s="48"/>
      <c r="BF597" s="41"/>
      <c r="BG597" s="48"/>
      <c r="BH597" s="41"/>
      <c r="BI597" s="48"/>
      <c r="BJ597" s="41"/>
      <c r="BK597" s="48"/>
      <c r="BL597" s="41"/>
      <c r="BM597" s="41"/>
      <c r="BN597" s="41"/>
      <c r="BO597" s="48"/>
      <c r="BP597" s="41"/>
      <c r="BQ597" s="48"/>
      <c r="BR597" s="46"/>
      <c r="BS597" s="48"/>
      <c r="BT597" s="41"/>
      <c r="BU597" s="48"/>
      <c r="BV597" s="41"/>
      <c r="BW597" s="48"/>
      <c r="CA597" s="46"/>
      <c r="CB597" s="49"/>
      <c r="CC597" s="49"/>
      <c r="CD597" s="46"/>
      <c r="CE597" s="49"/>
      <c r="CF597" s="46"/>
      <c r="CG597" s="46"/>
      <c r="CH597" s="46"/>
      <c r="CI597" s="46"/>
      <c r="CJ597" s="46"/>
      <c r="CK597" s="46"/>
      <c r="CL597" s="46"/>
      <c r="CM597" s="46"/>
      <c r="CN597" s="46"/>
      <c r="CO597" s="46"/>
      <c r="CP597" s="46"/>
      <c r="CQ597" s="46"/>
      <c r="CR597" s="46"/>
      <c r="CS597" s="46"/>
      <c r="CT597" s="46"/>
    </row>
    <row r="598" spans="1:98">
      <c r="A598" s="1" t="s">
        <v>251</v>
      </c>
      <c r="B598" s="50">
        <v>343</v>
      </c>
      <c r="C598" s="46" t="s">
        <v>508</v>
      </c>
      <c r="D598" s="63">
        <v>68.715199999999996</v>
      </c>
      <c r="E598" s="63">
        <v>5.7622</v>
      </c>
      <c r="J598" s="38" t="s">
        <v>256</v>
      </c>
      <c r="L598" s="1" t="s">
        <v>512</v>
      </c>
      <c r="M598" s="78" t="s">
        <v>869</v>
      </c>
      <c r="N598" s="78"/>
      <c r="O598" s="46"/>
      <c r="R598" s="47">
        <v>47.709847005208331</v>
      </c>
      <c r="S598" s="47">
        <v>3.2550781249999998</v>
      </c>
      <c r="T598" s="47">
        <v>13.990576171875</v>
      </c>
      <c r="U598" s="47"/>
      <c r="V598" s="47">
        <v>17.579508463541668</v>
      </c>
      <c r="W598" s="47">
        <v>0.67814127604166663</v>
      </c>
      <c r="X598" s="47">
        <v>7.8455729166666659</v>
      </c>
      <c r="Y598" s="47">
        <v>3.5784993489583332</v>
      </c>
      <c r="Z598" s="47">
        <v>3.5680664062499998</v>
      </c>
      <c r="AA598" s="47">
        <v>0.36515299479166663</v>
      </c>
      <c r="AB598" s="47">
        <v>0.3964518229166667</v>
      </c>
      <c r="AC598" s="9">
        <v>3.06</v>
      </c>
      <c r="AD598" s="23">
        <f t="shared" si="428"/>
        <v>102.02689453125001</v>
      </c>
      <c r="AE598" s="21">
        <f t="shared" si="429"/>
        <v>17.579508463541668</v>
      </c>
      <c r="AF598" s="23">
        <f t="shared" si="430"/>
        <v>0.44308798920265419</v>
      </c>
      <c r="AH598" s="16">
        <f t="shared" si="444"/>
        <v>48.207885304659492</v>
      </c>
      <c r="AI598" s="16">
        <f t="shared" si="445"/>
        <v>3.2890575585072739</v>
      </c>
      <c r="AJ598" s="16">
        <f t="shared" si="446"/>
        <v>14.136622390891839</v>
      </c>
      <c r="AK598" s="16">
        <f t="shared" si="447"/>
        <v>0</v>
      </c>
      <c r="AL598" s="16">
        <f t="shared" si="448"/>
        <v>17.763019186169092</v>
      </c>
      <c r="AM598" s="16">
        <f t="shared" si="449"/>
        <v>0.68522032468901528</v>
      </c>
      <c r="AN598" s="16">
        <f t="shared" si="450"/>
        <v>7.927472064094454</v>
      </c>
      <c r="AO598" s="16">
        <f t="shared" si="451"/>
        <v>3.6158549441281886</v>
      </c>
      <c r="AP598" s="16">
        <f t="shared" si="452"/>
        <v>3.6053130929791268</v>
      </c>
      <c r="AQ598" s="16">
        <f t="shared" si="453"/>
        <v>0.36896479021716211</v>
      </c>
      <c r="AR598" s="16">
        <f t="shared" si="454"/>
        <v>0.40059034366434748</v>
      </c>
      <c r="AS598" s="16">
        <f t="shared" si="455"/>
        <v>100</v>
      </c>
      <c r="AT598" s="16">
        <f t="shared" si="456"/>
        <v>17.763019186169092</v>
      </c>
      <c r="AY598" s="46"/>
      <c r="AZ598" s="41"/>
      <c r="BA598" s="48"/>
      <c r="BB598" s="41"/>
      <c r="BC598" s="48"/>
      <c r="BD598" s="41"/>
      <c r="BE598" s="48"/>
      <c r="BF598" s="41"/>
      <c r="BG598" s="48"/>
      <c r="BH598" s="41"/>
      <c r="BI598" s="48"/>
      <c r="BJ598" s="41"/>
      <c r="BK598" s="48"/>
      <c r="BL598" s="41"/>
      <c r="BM598" s="41"/>
      <c r="BN598" s="41"/>
      <c r="BO598" s="48"/>
      <c r="BP598" s="41"/>
      <c r="BQ598" s="48"/>
      <c r="BR598" s="46"/>
      <c r="BS598" s="48"/>
      <c r="BT598" s="41"/>
      <c r="BU598" s="48"/>
      <c r="BV598" s="41"/>
      <c r="BW598" s="48"/>
      <c r="CA598" s="46"/>
      <c r="CB598" s="49"/>
      <c r="CC598" s="49"/>
      <c r="CD598" s="46"/>
      <c r="CE598" s="49"/>
      <c r="CF598" s="46"/>
      <c r="CG598" s="46"/>
      <c r="CH598" s="46"/>
      <c r="CI598" s="46"/>
      <c r="CJ598" s="46"/>
      <c r="CK598" s="46"/>
      <c r="CL598" s="46"/>
      <c r="CM598" s="46"/>
      <c r="CN598" s="46"/>
      <c r="CO598" s="46"/>
      <c r="CP598" s="46"/>
      <c r="CQ598" s="46"/>
      <c r="CR598" s="46"/>
      <c r="CS598" s="46"/>
      <c r="CT598" s="46"/>
    </row>
    <row r="599" spans="1:98">
      <c r="A599" s="1" t="s">
        <v>251</v>
      </c>
      <c r="B599" s="50">
        <v>343</v>
      </c>
      <c r="C599" s="46" t="s">
        <v>509</v>
      </c>
      <c r="D599" s="63">
        <v>68.715199999999996</v>
      </c>
      <c r="E599" s="63">
        <v>5.7622</v>
      </c>
      <c r="J599" s="38" t="s">
        <v>256</v>
      </c>
      <c r="L599" s="1" t="s">
        <v>515</v>
      </c>
      <c r="M599" s="78" t="s">
        <v>870</v>
      </c>
      <c r="N599" s="78" t="s">
        <v>871</v>
      </c>
      <c r="O599" s="46"/>
      <c r="R599" s="47">
        <v>49.797587123209858</v>
      </c>
      <c r="S599" s="47">
        <v>3.054145198588178</v>
      </c>
      <c r="T599" s="47">
        <v>14.039054322690575</v>
      </c>
      <c r="U599" s="47"/>
      <c r="V599" s="47">
        <v>12.052357904986003</v>
      </c>
      <c r="W599" s="47">
        <v>0.19025822548582094</v>
      </c>
      <c r="X599" s="47">
        <v>5.6977331737595849</v>
      </c>
      <c r="Y599" s="47">
        <v>10.9849091241024</v>
      </c>
      <c r="Z599" s="47">
        <v>2.6836423384315795</v>
      </c>
      <c r="AA599" s="47">
        <v>0.23031258874599378</v>
      </c>
      <c r="AB599" s="47">
        <v>0</v>
      </c>
      <c r="AD599" s="23">
        <f t="shared" si="428"/>
        <v>98.73</v>
      </c>
      <c r="AE599" s="21">
        <f t="shared" si="429"/>
        <v>12.052357904986003</v>
      </c>
      <c r="AF599" s="23">
        <f t="shared" si="430"/>
        <v>0.45734238207964811</v>
      </c>
      <c r="AH599" s="16">
        <f t="shared" si="444"/>
        <v>50.438151649154115</v>
      </c>
      <c r="AI599" s="16">
        <f t="shared" si="445"/>
        <v>3.0934317822224027</v>
      </c>
      <c r="AJ599" s="16">
        <f t="shared" si="446"/>
        <v>14.219643798937074</v>
      </c>
      <c r="AK599" s="16">
        <f t="shared" si="447"/>
        <v>0</v>
      </c>
      <c r="AL599" s="16">
        <f t="shared" si="448"/>
        <v>12.207391780599618</v>
      </c>
      <c r="AM599" s="16">
        <f t="shared" si="449"/>
        <v>0.19270558643352673</v>
      </c>
      <c r="AN599" s="16">
        <f t="shared" si="450"/>
        <v>5.7710251937198267</v>
      </c>
      <c r="AO599" s="16">
        <f t="shared" si="451"/>
        <v>11.126212016714675</v>
      </c>
      <c r="AP599" s="16">
        <f t="shared" si="452"/>
        <v>2.7181630086413242</v>
      </c>
      <c r="AQ599" s="16">
        <f t="shared" si="453"/>
        <v>0.23327518357742708</v>
      </c>
      <c r="AR599" s="16">
        <f t="shared" si="454"/>
        <v>0</v>
      </c>
      <c r="AS599" s="16">
        <f t="shared" si="455"/>
        <v>100</v>
      </c>
      <c r="AT599" s="16">
        <f t="shared" si="456"/>
        <v>12.207391780599618</v>
      </c>
      <c r="AY599" s="46">
        <v>44</v>
      </c>
      <c r="AZ599" s="41"/>
      <c r="BA599" s="48"/>
      <c r="BB599" s="41"/>
      <c r="BC599" s="48"/>
      <c r="BD599" s="41"/>
      <c r="BE599" s="48">
        <v>39</v>
      </c>
      <c r="BF599" s="41"/>
      <c r="BG599" s="48"/>
      <c r="BH599" s="41"/>
      <c r="BI599" s="48"/>
      <c r="BJ599" s="41"/>
      <c r="BK599" s="48"/>
      <c r="BL599" s="41"/>
      <c r="BM599" s="41"/>
      <c r="BN599" s="41"/>
      <c r="BO599" s="48">
        <v>5.0999999999999996</v>
      </c>
      <c r="BP599" s="41"/>
      <c r="BQ599" s="48">
        <v>202</v>
      </c>
      <c r="BR599" s="46"/>
      <c r="BS599" s="48">
        <v>40</v>
      </c>
      <c r="BT599" s="41"/>
      <c r="BU599" s="48">
        <v>154</v>
      </c>
      <c r="BV599" s="41"/>
      <c r="BW599" s="48"/>
      <c r="CA599" s="49"/>
      <c r="CB599" s="49">
        <v>14.2</v>
      </c>
      <c r="CC599" s="49">
        <v>39.700000000000003</v>
      </c>
      <c r="CD599" s="46"/>
      <c r="CE599" s="46">
        <v>23.9</v>
      </c>
      <c r="CF599" s="46">
        <v>6.8</v>
      </c>
      <c r="CG599" s="46">
        <v>2.1</v>
      </c>
      <c r="CH599" s="46"/>
      <c r="CI599" s="46">
        <v>1.3</v>
      </c>
      <c r="CJ599" s="46"/>
      <c r="CK599" s="46"/>
      <c r="CL599" s="46">
        <v>0.97</v>
      </c>
      <c r="CM599" s="46"/>
      <c r="CN599" s="46">
        <v>4.4000000000000004</v>
      </c>
      <c r="CO599" s="46">
        <v>0.49</v>
      </c>
      <c r="CP599" s="46"/>
      <c r="CQ599" s="46"/>
      <c r="CR599" s="49"/>
      <c r="CS599" s="46"/>
      <c r="CT599" s="46"/>
    </row>
    <row r="600" spans="1:98">
      <c r="A600" s="1" t="s">
        <v>251</v>
      </c>
      <c r="B600" s="50">
        <v>343</v>
      </c>
      <c r="C600" s="46" t="s">
        <v>510</v>
      </c>
      <c r="D600" s="63">
        <v>68.715199999999996</v>
      </c>
      <c r="E600" s="63">
        <v>5.7622</v>
      </c>
      <c r="J600" s="38" t="s">
        <v>256</v>
      </c>
      <c r="L600" s="1" t="s">
        <v>512</v>
      </c>
      <c r="M600" s="78" t="s">
        <v>869</v>
      </c>
      <c r="N600" s="78"/>
      <c r="O600" s="46"/>
      <c r="R600" s="47">
        <v>49.308778662168571</v>
      </c>
      <c r="S600" s="47">
        <v>3.1063085762479568</v>
      </c>
      <c r="T600" s="47">
        <v>16.192020452269251</v>
      </c>
      <c r="U600" s="47"/>
      <c r="V600" s="47">
        <v>15.22710400084339</v>
      </c>
      <c r="W600" s="47">
        <v>0</v>
      </c>
      <c r="X600" s="47">
        <v>5.7998186706024981</v>
      </c>
      <c r="Y600" s="47">
        <v>3.890625691845448</v>
      </c>
      <c r="Z600" s="47">
        <v>3.2404680828633174</v>
      </c>
      <c r="AA600" s="47">
        <v>3.0547087660112799</v>
      </c>
      <c r="AB600" s="47">
        <v>0</v>
      </c>
      <c r="AC600" s="9">
        <v>2.1</v>
      </c>
      <c r="AD600" s="23">
        <f t="shared" si="428"/>
        <v>101.91983290285168</v>
      </c>
      <c r="AE600" s="21">
        <f t="shared" si="429"/>
        <v>15.22710400084339</v>
      </c>
      <c r="AF600" s="23">
        <f t="shared" si="430"/>
        <v>0.40441447627799237</v>
      </c>
      <c r="AH600" s="16">
        <f t="shared" si="444"/>
        <v>49.397777203411749</v>
      </c>
      <c r="AI600" s="16">
        <f t="shared" si="445"/>
        <v>3.1119152235719829</v>
      </c>
      <c r="AJ600" s="16">
        <f t="shared" si="446"/>
        <v>16.22124579994831</v>
      </c>
      <c r="AK600" s="16">
        <f t="shared" si="447"/>
        <v>0</v>
      </c>
      <c r="AL600" s="16">
        <f t="shared" si="448"/>
        <v>15.254587748772295</v>
      </c>
      <c r="AM600" s="16">
        <f t="shared" si="449"/>
        <v>0</v>
      </c>
      <c r="AN600" s="16">
        <f t="shared" si="450"/>
        <v>5.8102868958387193</v>
      </c>
      <c r="AO600" s="16">
        <f t="shared" si="451"/>
        <v>3.8976479710519527</v>
      </c>
      <c r="AP600" s="16">
        <f t="shared" si="452"/>
        <v>3.2463168777461884</v>
      </c>
      <c r="AQ600" s="16">
        <f t="shared" si="453"/>
        <v>3.0602222796588272</v>
      </c>
      <c r="AR600" s="16">
        <f t="shared" si="454"/>
        <v>0</v>
      </c>
      <c r="AS600" s="16">
        <f t="shared" si="455"/>
        <v>100.00000000000001</v>
      </c>
      <c r="AT600" s="16">
        <f t="shared" si="456"/>
        <v>15.254587748772295</v>
      </c>
      <c r="AY600" s="46"/>
      <c r="AZ600" s="41"/>
      <c r="BA600" s="48"/>
      <c r="BB600" s="41"/>
      <c r="BC600" s="48"/>
      <c r="BD600" s="41"/>
      <c r="BE600" s="48"/>
      <c r="BF600" s="41"/>
      <c r="BG600" s="48"/>
      <c r="BH600" s="41"/>
      <c r="BI600" s="48"/>
      <c r="BJ600" s="41"/>
      <c r="BK600" s="48"/>
      <c r="BL600" s="41"/>
      <c r="BM600" s="41"/>
      <c r="BN600" s="41"/>
      <c r="BO600" s="48"/>
      <c r="BP600" s="41"/>
      <c r="BQ600" s="48"/>
      <c r="BR600" s="46"/>
      <c r="BS600" s="48"/>
      <c r="BT600" s="41"/>
      <c r="BU600" s="48"/>
      <c r="BV600" s="41"/>
      <c r="BW600" s="48"/>
      <c r="CA600" s="46"/>
      <c r="CB600" s="49"/>
      <c r="CC600" s="49"/>
      <c r="CD600" s="46"/>
      <c r="CE600" s="49"/>
      <c r="CF600" s="46"/>
      <c r="CG600" s="46"/>
      <c r="CH600" s="46"/>
      <c r="CI600" s="46"/>
      <c r="CJ600" s="46"/>
      <c r="CK600" s="46"/>
      <c r="CL600" s="46"/>
      <c r="CM600" s="46"/>
      <c r="CN600" s="46"/>
      <c r="CO600" s="46"/>
      <c r="CP600" s="46"/>
      <c r="CQ600" s="46"/>
      <c r="CR600" s="46"/>
      <c r="CS600" s="46"/>
      <c r="CT600" s="46"/>
    </row>
    <row r="601" spans="1:98">
      <c r="A601" s="1" t="s">
        <v>251</v>
      </c>
      <c r="B601" s="50">
        <v>343</v>
      </c>
      <c r="C601" s="46" t="s">
        <v>511</v>
      </c>
      <c r="D601" s="63">
        <v>68.715199999999996</v>
      </c>
      <c r="E601" s="63">
        <v>5.7622</v>
      </c>
      <c r="J601" s="38" t="s">
        <v>256</v>
      </c>
      <c r="L601" s="1" t="s">
        <v>512</v>
      </c>
      <c r="M601" s="78" t="s">
        <v>869</v>
      </c>
      <c r="N601" s="78"/>
      <c r="O601" s="46"/>
      <c r="R601" s="47">
        <v>47.915247648504369</v>
      </c>
      <c r="S601" s="47">
        <v>2.4468678501821883</v>
      </c>
      <c r="T601" s="47">
        <v>14.42309867807813</v>
      </c>
      <c r="U601" s="47"/>
      <c r="V601" s="47">
        <v>15.050818362850606</v>
      </c>
      <c r="W601" s="47">
        <v>0.47491949834759772</v>
      </c>
      <c r="X601" s="47">
        <v>9.5809846623167534</v>
      </c>
      <c r="Y601" s="47">
        <v>5.9158450555037723</v>
      </c>
      <c r="Z601" s="47">
        <v>3.1385984238623852</v>
      </c>
      <c r="AA601" s="47">
        <v>0.19616240149139907</v>
      </c>
      <c r="AB601" s="47">
        <v>0.25810842301499876</v>
      </c>
      <c r="AC601" s="9">
        <v>2.1800000000000002</v>
      </c>
      <c r="AD601" s="23">
        <f t="shared" si="428"/>
        <v>101.5806510041522</v>
      </c>
      <c r="AE601" s="21">
        <f t="shared" si="429"/>
        <v>15.050818362850606</v>
      </c>
      <c r="AF601" s="23">
        <f t="shared" si="430"/>
        <v>0.53158131028137878</v>
      </c>
      <c r="AH601" s="16">
        <f t="shared" si="444"/>
        <v>48.20415879017014</v>
      </c>
      <c r="AI601" s="16">
        <f t="shared" si="445"/>
        <v>2.4616215542491537</v>
      </c>
      <c r="AJ601" s="16">
        <f t="shared" si="446"/>
        <v>14.510064604582562</v>
      </c>
      <c r="AK601" s="16">
        <f t="shared" si="447"/>
        <v>0</v>
      </c>
      <c r="AL601" s="16">
        <f t="shared" si="448"/>
        <v>15.141569205841416</v>
      </c>
      <c r="AM601" s="16">
        <f t="shared" si="449"/>
        <v>0.47778308647873868</v>
      </c>
      <c r="AN601" s="16">
        <f t="shared" si="450"/>
        <v>9.6387544402667285</v>
      </c>
      <c r="AO601" s="16">
        <f t="shared" si="451"/>
        <v>5.9515154033112454</v>
      </c>
      <c r="AP601" s="16">
        <f t="shared" si="452"/>
        <v>3.1575230062942734</v>
      </c>
      <c r="AQ601" s="16">
        <f t="shared" si="453"/>
        <v>0.19734518789339209</v>
      </c>
      <c r="AR601" s="16">
        <f t="shared" si="454"/>
        <v>0.25966472091235798</v>
      </c>
      <c r="AS601" s="16">
        <f t="shared" si="455"/>
        <v>100</v>
      </c>
      <c r="AT601" s="16">
        <f t="shared" si="456"/>
        <v>15.141569205841416</v>
      </c>
      <c r="AY601" s="46"/>
      <c r="AZ601" s="41"/>
      <c r="BA601" s="48"/>
      <c r="BB601" s="41"/>
      <c r="BC601" s="48"/>
      <c r="BD601" s="41"/>
      <c r="BE601" s="48"/>
      <c r="BF601" s="41"/>
      <c r="BG601" s="48"/>
      <c r="BH601" s="41"/>
      <c r="BI601" s="48"/>
      <c r="BJ601" s="41"/>
      <c r="BK601" s="48"/>
      <c r="BL601" s="41"/>
      <c r="BM601" s="41"/>
      <c r="BN601" s="41"/>
      <c r="BO601" s="48"/>
      <c r="BP601" s="41"/>
      <c r="BQ601" s="48"/>
      <c r="BR601" s="46"/>
      <c r="BS601" s="48"/>
      <c r="BT601" s="41"/>
      <c r="BU601" s="48"/>
      <c r="BV601" s="41"/>
      <c r="BW601" s="48"/>
      <c r="CA601" s="49"/>
      <c r="CB601" s="46"/>
      <c r="CC601" s="46"/>
      <c r="CD601" s="46"/>
      <c r="CE601" s="46"/>
      <c r="CF601" s="46"/>
      <c r="CG601" s="46"/>
      <c r="CH601" s="46"/>
      <c r="CI601" s="46"/>
      <c r="CJ601" s="46"/>
      <c r="CK601" s="46"/>
      <c r="CL601" s="46"/>
      <c r="CM601" s="46"/>
      <c r="CN601" s="46"/>
      <c r="CO601" s="46"/>
      <c r="CP601" s="46"/>
      <c r="CQ601" s="46"/>
      <c r="CR601" s="46"/>
      <c r="CS601" s="46"/>
      <c r="CT601" s="46"/>
    </row>
    <row r="602" spans="1:98" customFormat="1" ht="15"/>
    <row r="603" spans="1:98" customFormat="1" ht="15"/>
    <row r="604" spans="1:98" customFormat="1" ht="15"/>
    <row r="605" spans="1:98" customFormat="1" ht="15"/>
    <row r="606" spans="1:98" customFormat="1" ht="15"/>
    <row r="607" spans="1:98" customFormat="1" ht="15"/>
    <row r="608" spans="1:98" customFormat="1" ht="15"/>
    <row r="609" customFormat="1" ht="15"/>
    <row r="610" customFormat="1" ht="15"/>
    <row r="611" customFormat="1" ht="15"/>
    <row r="612" customFormat="1" ht="15"/>
    <row r="613" customFormat="1" ht="15"/>
    <row r="614" customFormat="1" ht="15"/>
    <row r="615" customFormat="1" ht="15"/>
    <row r="616" customFormat="1" ht="15"/>
    <row r="617" customFormat="1" ht="15"/>
    <row r="618" customFormat="1" ht="15"/>
    <row r="619" customFormat="1" ht="15"/>
    <row r="620" customFormat="1" ht="15"/>
    <row r="621" customFormat="1" ht="15"/>
    <row r="622" customFormat="1" ht="15"/>
    <row r="623" customFormat="1" ht="15"/>
    <row r="624" customFormat="1" ht="15"/>
    <row r="625" customFormat="1" ht="15"/>
    <row r="626" customFormat="1" ht="15"/>
    <row r="627" customFormat="1" ht="15"/>
    <row r="628" customFormat="1" ht="15"/>
    <row r="629" customFormat="1" ht="15"/>
    <row r="630" customFormat="1" ht="15"/>
    <row r="631" customFormat="1" ht="15"/>
    <row r="632" customFormat="1" ht="15"/>
    <row r="633" customFormat="1" ht="15"/>
    <row r="634" customFormat="1" ht="15"/>
    <row r="635" customFormat="1" ht="15"/>
    <row r="636" customFormat="1" ht="15"/>
    <row r="637" customFormat="1" ht="15"/>
    <row r="638" customFormat="1" ht="15"/>
    <row r="639" customFormat="1" ht="15"/>
    <row r="640" customFormat="1" ht="15"/>
    <row r="641" customFormat="1" ht="15"/>
    <row r="642" customFormat="1" ht="15"/>
    <row r="643" customFormat="1" ht="15"/>
    <row r="644" customFormat="1" ht="15"/>
    <row r="645" customFormat="1" ht="15"/>
    <row r="646" customFormat="1" ht="15"/>
    <row r="647" customFormat="1" ht="15"/>
    <row r="648" customFormat="1" ht="15"/>
    <row r="649" customFormat="1" ht="15"/>
    <row r="650" customFormat="1" ht="15"/>
    <row r="651" customFormat="1" ht="15"/>
    <row r="652" customFormat="1" ht="15"/>
    <row r="653" customFormat="1" ht="15"/>
    <row r="654" customFormat="1" ht="15"/>
    <row r="655" customFormat="1" ht="15"/>
    <row r="656" customFormat="1" ht="15"/>
    <row r="657" customFormat="1" ht="15"/>
    <row r="658" customFormat="1" ht="15"/>
    <row r="659" customFormat="1" ht="15"/>
    <row r="660" customFormat="1" ht="15"/>
    <row r="661" customFormat="1" ht="15"/>
    <row r="662" customFormat="1" ht="15"/>
    <row r="663" customFormat="1" ht="15"/>
    <row r="664" customFormat="1" ht="15"/>
    <row r="665" customFormat="1" ht="15"/>
    <row r="666" customFormat="1" ht="15"/>
    <row r="667" customFormat="1" ht="15"/>
    <row r="668" customFormat="1" ht="15"/>
    <row r="669" customFormat="1" ht="15"/>
    <row r="670" customFormat="1" ht="15"/>
    <row r="671" customFormat="1" ht="15"/>
    <row r="672" customFormat="1" ht="15"/>
    <row r="673" customFormat="1" ht="15"/>
    <row r="674" customFormat="1" ht="15"/>
    <row r="675" customFormat="1" ht="15"/>
    <row r="676" customFormat="1" ht="15"/>
    <row r="677" customFormat="1" ht="15"/>
    <row r="678" customFormat="1" ht="15"/>
    <row r="679" customFormat="1" ht="15"/>
    <row r="680" customFormat="1" ht="15"/>
    <row r="681" customFormat="1" ht="15"/>
    <row r="682" customFormat="1" ht="15"/>
    <row r="683" customFormat="1" ht="15"/>
    <row r="684" customFormat="1" ht="15"/>
    <row r="685" customFormat="1" ht="15"/>
    <row r="686" customFormat="1" ht="15"/>
    <row r="687" customFormat="1" ht="15"/>
    <row r="688" customFormat="1" ht="15"/>
    <row r="689" customFormat="1" ht="15"/>
    <row r="690" customFormat="1" ht="15"/>
    <row r="691" customFormat="1" ht="15"/>
    <row r="692" customFormat="1" ht="15"/>
    <row r="693" customFormat="1" ht="15"/>
    <row r="694" customFormat="1" ht="15"/>
    <row r="695" customFormat="1" ht="15"/>
    <row r="696" customFormat="1" ht="15"/>
    <row r="697" customFormat="1" ht="15"/>
    <row r="698" customFormat="1" ht="15"/>
    <row r="699" customFormat="1" ht="15"/>
    <row r="700" customFormat="1" ht="15"/>
    <row r="701" customFormat="1" ht="15"/>
    <row r="702" customFormat="1" ht="15"/>
    <row r="703" customFormat="1" ht="15"/>
    <row r="704" customFormat="1" ht="15"/>
    <row r="705" customFormat="1" ht="15"/>
    <row r="706" customFormat="1" ht="15"/>
    <row r="707" customFormat="1" ht="15"/>
    <row r="708" customFormat="1" ht="15"/>
    <row r="709" customFormat="1" ht="15"/>
    <row r="710" customFormat="1" ht="15"/>
    <row r="711" customFormat="1" ht="15"/>
    <row r="712" customFormat="1" ht="15"/>
    <row r="713" customFormat="1" ht="15"/>
    <row r="714" customFormat="1" ht="15"/>
    <row r="715" customFormat="1" ht="15"/>
    <row r="716" customFormat="1" ht="15"/>
    <row r="717" customFormat="1" ht="15"/>
    <row r="718" customFormat="1" ht="15"/>
    <row r="719" customFormat="1" ht="15"/>
    <row r="720" customFormat="1" ht="15"/>
    <row r="721" customFormat="1" ht="15"/>
    <row r="722" customFormat="1" ht="15"/>
    <row r="723" customFormat="1" ht="15"/>
    <row r="724" customFormat="1" ht="15"/>
    <row r="725" customFormat="1" ht="15"/>
    <row r="726" customFormat="1" ht="15"/>
    <row r="727" customFormat="1" ht="15"/>
    <row r="728" customFormat="1" ht="15"/>
    <row r="729" customFormat="1" ht="15"/>
    <row r="730" customFormat="1" ht="15"/>
    <row r="731" customFormat="1" ht="15"/>
    <row r="732" customFormat="1" ht="15"/>
    <row r="733" customFormat="1" ht="15"/>
    <row r="734" customFormat="1" ht="15"/>
    <row r="735" customFormat="1" ht="15"/>
    <row r="736" customFormat="1" ht="15"/>
    <row r="737" customFormat="1" ht="15"/>
    <row r="738" customFormat="1" ht="15"/>
    <row r="739" customFormat="1" ht="15"/>
    <row r="740" customFormat="1" ht="15"/>
    <row r="741" customFormat="1" ht="15"/>
    <row r="742" customFormat="1" ht="15"/>
    <row r="743" customFormat="1" ht="15"/>
    <row r="744" customFormat="1" ht="15"/>
    <row r="745" customFormat="1" ht="15"/>
    <row r="746" customFormat="1" ht="15"/>
    <row r="747" customFormat="1" ht="15"/>
    <row r="748" customFormat="1" ht="15"/>
    <row r="749" customFormat="1" ht="15"/>
    <row r="750" customFormat="1" ht="15"/>
    <row r="751" customFormat="1" ht="15"/>
    <row r="752" customFormat="1" ht="15"/>
    <row r="753" customFormat="1" ht="15"/>
    <row r="754" customFormat="1" ht="15"/>
    <row r="755" customFormat="1" ht="15"/>
    <row r="756" customFormat="1" ht="15"/>
    <row r="757" customFormat="1" ht="15"/>
    <row r="758" customFormat="1" ht="15"/>
    <row r="759" customFormat="1" ht="15"/>
    <row r="760" customFormat="1" ht="15"/>
    <row r="761" customFormat="1" ht="15"/>
    <row r="762" customFormat="1" ht="15"/>
    <row r="763" customFormat="1" ht="15"/>
    <row r="764" customFormat="1" ht="15"/>
    <row r="765" customFormat="1" ht="15"/>
    <row r="766" customFormat="1" ht="15"/>
    <row r="767" customFormat="1" ht="15"/>
    <row r="768" customFormat="1" ht="15"/>
    <row r="769" customFormat="1" ht="15"/>
    <row r="770" customFormat="1" ht="15"/>
    <row r="771" customFormat="1" ht="15"/>
    <row r="772" customFormat="1" ht="15"/>
    <row r="773" customFormat="1" ht="15"/>
    <row r="774" customFormat="1" ht="15"/>
    <row r="775" customFormat="1" ht="15"/>
    <row r="776" customFormat="1" ht="15"/>
    <row r="777" customFormat="1" ht="15"/>
    <row r="778" customFormat="1" ht="15"/>
    <row r="779" customFormat="1" ht="15"/>
    <row r="780" customFormat="1" ht="15"/>
    <row r="781" customFormat="1" ht="15"/>
    <row r="782" customFormat="1" ht="15"/>
    <row r="783" customFormat="1" ht="15"/>
    <row r="784" customFormat="1" ht="15"/>
    <row r="785" customFormat="1" ht="15"/>
    <row r="786" customFormat="1" ht="15"/>
    <row r="787" customFormat="1" ht="15"/>
    <row r="788" customFormat="1" ht="15"/>
    <row r="789" customFormat="1" ht="15"/>
    <row r="790" customFormat="1" ht="15"/>
    <row r="791" customFormat="1" ht="15"/>
    <row r="792" customFormat="1" ht="15"/>
    <row r="793" customFormat="1" ht="15"/>
    <row r="794" customFormat="1" ht="15"/>
    <row r="795" customFormat="1" ht="15"/>
    <row r="796" customFormat="1" ht="15"/>
    <row r="797" customFormat="1" ht="15"/>
    <row r="798" customFormat="1" ht="15"/>
    <row r="799" customFormat="1" ht="15"/>
    <row r="800" customFormat="1" ht="15"/>
    <row r="801" customFormat="1" ht="15"/>
    <row r="802" customFormat="1" ht="15"/>
    <row r="803" customFormat="1" ht="15"/>
    <row r="804" customFormat="1" ht="15"/>
    <row r="805" customFormat="1" ht="15"/>
  </sheetData>
  <sortState xmlns:xlrd2="http://schemas.microsoft.com/office/spreadsheetml/2017/richdata2" ref="A252:KP273">
    <sortCondition ref="C252:C273"/>
  </sortState>
  <mergeCells count="1">
    <mergeCell ref="A5:J5"/>
  </mergeCells>
  <phoneticPr fontId="16" type="noConversion"/>
  <hyperlinks>
    <hyperlink ref="M15" r:id="rId1" xr:uid="{97BEE706-DDBA-A140-A666-7F3BD4E59652}"/>
    <hyperlink ref="M16:M37" r:id="rId2" display="https://doi.org/10.5880/digis.2025.011" xr:uid="{6A6C0634-F893-4445-818B-56E7E2E3256E}"/>
    <hyperlink ref="M39:M62" r:id="rId3" display="https://doi.org/10.5880/digis.2025.011" xr:uid="{084BECBA-30A1-F94D-9801-BB066EB18D55}"/>
    <hyperlink ref="M64:M89" r:id="rId4" display="https://doi.org/10.5880/digis.2025.011" xr:uid="{44AAADB5-9322-0141-8FD6-583384225DDC}"/>
    <hyperlink ref="M91:M101" r:id="rId5" display="https://doi.org/10.5880/digis.2025.011" xr:uid="{28DDB955-B7E9-3A46-B65D-F08C9B26823B}"/>
    <hyperlink ref="M103:M115" r:id="rId6" display="https://doi.org/10.5880/digis.2025.011" xr:uid="{AF454075-D954-1441-8847-15FFC186ECD7}"/>
    <hyperlink ref="M117:M125" r:id="rId7" display="https://doi.org/10.5880/digis.2025.011" xr:uid="{E92D8117-6ED5-0F4B-81D3-0F42755580DC}"/>
    <hyperlink ref="M127" r:id="rId8" xr:uid="{01BDC440-98D6-2C4B-9CE5-FF6D5ACD1672}"/>
    <hyperlink ref="M128" r:id="rId9" xr:uid="{88142B95-934B-E446-BB4D-8F351A7C629D}"/>
    <hyperlink ref="M130:M142" r:id="rId10" display="https://doi.org/10.5880/digis.2025.011" xr:uid="{1A146AC7-7EF4-F349-8572-5E970489C588}"/>
    <hyperlink ref="M144:M209" r:id="rId11" display="https://doi.org/10.5880/digis.2025.011" xr:uid="{EE44B832-5FB5-114F-B3AA-7A241C092C2F}"/>
    <hyperlink ref="M211:M223" r:id="rId12" display="https://doi.org/10.5880/digis.2025.011" xr:uid="{2A22548C-43B7-C140-9B8E-BEC24345635E}"/>
    <hyperlink ref="M225:M232" r:id="rId13" display="https://doi.org/10.5880/digis.2025.011" xr:uid="{1D1DA0A7-B91A-994E-90FC-A99B5F706555}"/>
    <hyperlink ref="M234:M245" r:id="rId14" display="https://doi.org/10.5880/digis.2025.011" xr:uid="{6084E6A0-BA19-CE41-A6E5-6CD0A8E31FDD}"/>
    <hyperlink ref="M247:M250" r:id="rId15" display="https://doi.org/10.5880/digis.2025.011" xr:uid="{598CA0D6-1356-3B48-895A-24D7F11FB577}"/>
    <hyperlink ref="M252" r:id="rId16" xr:uid="{FA6F70DC-7414-6241-BBFF-CBCD2D45FBE9}"/>
    <hyperlink ref="M253:M273" r:id="rId17" display="https://doi.org/10.1002/ggge.20224" xr:uid="{D8C5CFCA-790F-0441-B780-297FFCF93F23}"/>
    <hyperlink ref="M277" r:id="rId18" xr:uid="{0399EC1B-E586-FA4E-9AF9-12C827D8630B}"/>
    <hyperlink ref="M278:M279" r:id="rId19" display="https://doi.org/10.2973/odp.proc.sr.104.135.1989" xr:uid="{8C0238B6-9AD9-7046-AEE9-5FC10AFFB180}"/>
    <hyperlink ref="M283:M291" r:id="rId20" display="https://doi.org/10.2973/odp.proc.sr.104.135.1989" xr:uid="{84D80FE8-4011-CB46-A77E-CBA9E0C0765B}"/>
    <hyperlink ref="M293" r:id="rId21" xr:uid="{0BB85CC2-6B07-184D-8E19-545E61E42321}"/>
    <hyperlink ref="M294" r:id="rId22" xr:uid="{5ADF2DA5-2CE7-CB41-8A99-98DEBCA38D2E}"/>
    <hyperlink ref="M296:M300" r:id="rId23" display="https://doi.org/10.2973/odp.proc.sr.104.135.1989" xr:uid="{DC5E13B9-D877-8342-AE22-1D6B5E0F9319}"/>
    <hyperlink ref="M302:M304" r:id="rId24" display="https://doi.org/10.2973/odp.proc.sr.104.135.1989" xr:uid="{329B06CE-8255-714F-89FD-FC3D3B35B3C7}"/>
    <hyperlink ref="M306:M307" r:id="rId25" display="https://doi.org/10.2973/odp.proc.sr.104.135.1989" xr:uid="{F4697C4B-C2CC-DD49-A63A-638E199FAA5B}"/>
    <hyperlink ref="M309:M310" r:id="rId26" display="https://doi.org/10.2973/odp.proc.sr.104.135.1989" xr:uid="{738BC473-C695-4D46-90B6-75DC0C7A071D}"/>
    <hyperlink ref="M312" r:id="rId27" xr:uid="{F5FD1C95-4D03-D94B-B352-0E315D023AB5}"/>
    <hyperlink ref="M314:M319" r:id="rId28" display="https://doi.org/10.2973/odp.proc.sr.104.135.1989" xr:uid="{E37AED19-C72A-2844-BE64-00B962559BEC}"/>
    <hyperlink ref="M321" r:id="rId29" xr:uid="{0D703EC5-96C4-DD4D-B445-64CB7A8E8915}"/>
    <hyperlink ref="M323:M328" r:id="rId30" display="https://doi.org/10.2973/odp.proc.sr.104.135.1989" xr:uid="{8E58FEB5-DA83-4048-9DED-F3897EB65147}"/>
    <hyperlink ref="M331:M333" r:id="rId31" display="https://doi.org/10.2973/odp.proc.sr.104.135.1989" xr:uid="{DCA80C02-26FE-4C4A-8702-FDF93A658327}"/>
    <hyperlink ref="M335:M336" r:id="rId32" display="https://doi.org/10.2973/odp.proc.sr.104.135.1989" xr:uid="{FEAD23AB-F802-024E-B1F6-BF0A83FF46EB}"/>
    <hyperlink ref="M338:M341" r:id="rId33" display="https://doi.org/10.2973/odp.proc.sr.104.135.1989" xr:uid="{2BD31D7F-B9DA-3F41-AF0C-AA4BA5B55FD6}"/>
    <hyperlink ref="M343" r:id="rId34" xr:uid="{EFAE6638-1527-FB47-906A-C4A5E34B3EE9}"/>
    <hyperlink ref="M345" r:id="rId35" xr:uid="{CCCC0439-82A8-D949-A273-6CE6FD968F17}"/>
    <hyperlink ref="M348" r:id="rId36" xr:uid="{B14A422C-CB31-FD4A-8C58-523180A98698}"/>
    <hyperlink ref="M350:M352" r:id="rId37" display="https://doi.org/10.2973/odp.proc.sr.104.135.1989" xr:uid="{AD1698AE-3227-0F4B-9BC3-C5C115F1DDE9}"/>
    <hyperlink ref="M358:M360" r:id="rId38" display="https://doi.org/10.2973/odp.proc.sr.104.135.1989" xr:uid="{B699F2ED-AB5D-1242-B31B-C300876106A5}"/>
    <hyperlink ref="M366:M368" r:id="rId39" display="https://doi.org/10.2973/odp.proc.sr.104.135.1989" xr:uid="{71432BD4-55E0-FA44-8A68-000A72C0D8E9}"/>
    <hyperlink ref="M370:M372" r:id="rId40" display="https://doi.org/10.2973/odp.proc.sr.104.135.1989" xr:uid="{E30C8D46-A94D-374C-B13C-225DE9CE262E}"/>
    <hyperlink ref="M374:M382" r:id="rId41" display="https://doi.org/10.2973/odp.proc.sr.104.135.1989" xr:uid="{FB531DAB-8C04-6943-BC03-14DF9CC60434}"/>
    <hyperlink ref="M385" r:id="rId42" xr:uid="{944381C9-359E-AF4A-8DCC-63E82831FFEF}"/>
    <hyperlink ref="M387:M388" r:id="rId43" display="https://doi.org/10.2973/odp.proc.sr.104.135.1989" xr:uid="{0C19AE1B-1DC8-364E-A220-0B2350E3387B}"/>
    <hyperlink ref="M390:M391" r:id="rId44" display="https://doi.org/10.2973/odp.proc.sr.104.135.1989" xr:uid="{166DDF41-3800-A44A-B3EA-2236C5C26EC1}"/>
    <hyperlink ref="M396:M399" r:id="rId45" display="https://doi.org/10.2973/odp.proc.sr.104.135.1989" xr:uid="{26D69F8F-59AC-5D45-9C31-726049F5B5A9}"/>
    <hyperlink ref="M401" r:id="rId46" xr:uid="{FDDC5682-5D88-1A44-87BE-7060E8F2BC01}"/>
    <hyperlink ref="M403" r:id="rId47" xr:uid="{4B24FA35-3D93-434E-A6A7-CBEE21E54FB2}"/>
    <hyperlink ref="M405:M407" r:id="rId48" display="https://doi.org/10.2973/odp.proc.sr.104.135.1989" xr:uid="{841E04C1-3DF1-9B46-98CB-617B03F5A8BB}"/>
    <hyperlink ref="M413:M416" r:id="rId49" display="https://doi.org/10.2973/odp.proc.sr.104.135.1989" xr:uid="{CD4A35C3-DA22-A945-9EFB-8B7D18A198FD}"/>
    <hyperlink ref="M420:M422" r:id="rId50" display="https://doi.org/10.2973/odp.proc.sr.104.135.1989" xr:uid="{D64DDAFC-E316-3B47-93C7-0EE90D5D0F05}"/>
    <hyperlink ref="M425:M426" r:id="rId51" display="https://doi.org/10.2973/odp.proc.sr.104.135.1989" xr:uid="{F4E88148-D80D-D54B-98E0-1C7B0BDD0672}"/>
    <hyperlink ref="M429:M430" r:id="rId52" display="https://doi.org/10.2973/odp.proc.sr.104.135.1989" xr:uid="{C7F7A989-334F-7446-8D2A-1A11C4F68E96}"/>
    <hyperlink ref="M433:M434" r:id="rId53" display="https://doi.org/10.2973/odp.proc.sr.104.135.1989" xr:uid="{61049F47-74FD-F540-9580-21E27DD54009}"/>
    <hyperlink ref="M438" r:id="rId54" xr:uid="{5C13E897-A503-984A-8FE6-06E66DFDD2B8}"/>
    <hyperlink ref="M442:M444" r:id="rId55" display="https://doi.org/10.2973/odp.proc.sr.104.135.1989" xr:uid="{D1E5D215-7E71-264E-AC16-BAC9360D5F11}"/>
    <hyperlink ref="M452:M454" r:id="rId56" display="https://doi.org/10.2973/odp.proc.sr.104.135.1989" xr:uid="{A2250A7B-12B7-C041-A128-3C3810E678C1}"/>
    <hyperlink ref="M542:M557" r:id="rId57" display="https://doi.org/10.2973/odp.proc.sr.104.135.1989" xr:uid="{91C44D91-30B0-E04C-941A-B2573B37E9AE}"/>
    <hyperlink ref="M280" r:id="rId58" xr:uid="{3AAA7A2C-05AB-8341-AB7D-07B005C6207C}"/>
    <hyperlink ref="M281:M282" r:id="rId59" display="https://doi.org/10.1016/j.margeo.2009.02.007" xr:uid="{BEE3B433-660D-374C-89CD-95F08B9A6AA4}"/>
    <hyperlink ref="M292" r:id="rId60" xr:uid="{222FDC83-E87D-7946-8DDA-69971798F676}"/>
    <hyperlink ref="M295" r:id="rId61" xr:uid="{E92FFA3B-0059-9A4E-85D8-E1EEE8DA6881}"/>
    <hyperlink ref="M301" r:id="rId62" xr:uid="{9DCD66AD-F83A-FC4D-952E-1456F8A5701D}"/>
    <hyperlink ref="M305" r:id="rId63" xr:uid="{9202008D-925B-6344-AA87-07F70C554D12}"/>
    <hyperlink ref="M308" r:id="rId64" xr:uid="{23500231-6B2C-7F42-BC09-8D3CDA4658A6}"/>
    <hyperlink ref="M311" r:id="rId65" xr:uid="{B1203026-4168-004B-A03D-8539C2F6B658}"/>
    <hyperlink ref="M313" r:id="rId66" xr:uid="{6A01772B-5485-BF44-AA39-1FAEE815B483}"/>
    <hyperlink ref="M320" r:id="rId67" xr:uid="{2BF7C169-5294-B74B-B0DF-34AA40836883}"/>
    <hyperlink ref="M322" r:id="rId68" xr:uid="{8DCB7320-B460-B24B-BB38-F406E2A8D910}"/>
    <hyperlink ref="M329:M330" r:id="rId69" display="https://doi.org/10.1016/j.margeo.2009.02.007" xr:uid="{F61FA353-74AA-6242-AF7D-031A6A3FE4D3}"/>
    <hyperlink ref="M334" r:id="rId70" xr:uid="{6B9B75D7-84B9-3242-B3E0-E3151C06424B}"/>
    <hyperlink ref="M337" r:id="rId71" xr:uid="{C04D6764-C9D2-AF49-931B-9433CD5885EB}"/>
    <hyperlink ref="M342" r:id="rId72" xr:uid="{4D771A32-F111-1A48-A478-DF4DF61BD243}"/>
    <hyperlink ref="M344" r:id="rId73" xr:uid="{8405D8C5-8B07-F946-951C-0DD251A66A4B}"/>
    <hyperlink ref="M346:M347" r:id="rId74" display="https://doi.org/10.1016/j.margeo.2009.02.007" xr:uid="{D7C3884C-653D-B04B-B2D2-8A472509DE04}"/>
    <hyperlink ref="M349" r:id="rId75" xr:uid="{BE7B1BE5-994F-5A4D-BBF1-6228F2ACB2D6}"/>
    <hyperlink ref="M353:M357" r:id="rId76" display="https://doi.org/10.1016/j.margeo.2009.02.007" xr:uid="{DF7F9D9F-17E1-CE41-BC3E-2D8830D98120}"/>
    <hyperlink ref="M361:M365" r:id="rId77" display="https://doi.org/10.1016/j.margeo.2009.02.007" xr:uid="{6BA97297-22BE-F04C-88B0-D5DA32B3AD10}"/>
    <hyperlink ref="M369" r:id="rId78" xr:uid="{86B05883-A7E5-814B-B937-6491683CC61B}"/>
    <hyperlink ref="M373" r:id="rId79" xr:uid="{ADCB6E65-5667-9745-B11A-7FAD641683D1}"/>
    <hyperlink ref="M383:M384" r:id="rId80" display="https://doi.org/10.1016/j.margeo.2009.02.007" xr:uid="{6718B241-3C56-F545-AC51-B8F03881ECF0}"/>
    <hyperlink ref="M386" r:id="rId81" xr:uid="{5E385075-D4B9-1A4C-B064-2FBD2506EC82}"/>
    <hyperlink ref="M389" r:id="rId82" xr:uid="{A07D4D39-B00A-C148-BC57-235D434D8375}"/>
    <hyperlink ref="M392:M395" r:id="rId83" display="https://doi.org/10.1016/j.margeo.2009.02.007" xr:uid="{D43E57F8-DD08-3743-9352-4DCFF6FF4DD9}"/>
    <hyperlink ref="M400" r:id="rId84" xr:uid="{DBB13B4D-EA64-0546-B900-B42B33B3F6F8}"/>
    <hyperlink ref="M402" r:id="rId85" xr:uid="{5C7911F5-172E-4C4E-8879-5AC7F1232FBF}"/>
    <hyperlink ref="M404" r:id="rId86" xr:uid="{B869885A-6C05-3A4B-8158-DF17DAA43F98}"/>
    <hyperlink ref="M408:M412" r:id="rId87" display="https://doi.org/10.1016/j.margeo.2009.02.007" xr:uid="{6D548684-8D09-EF4E-9703-DF1136F059AE}"/>
    <hyperlink ref="M417:M419" r:id="rId88" display="https://doi.org/10.1016/j.margeo.2009.02.007" xr:uid="{EA497C1D-19D7-F848-A2FE-8B1190460B55}"/>
    <hyperlink ref="M423:M424" r:id="rId89" display="https://doi.org/10.1016/j.margeo.2009.02.007" xr:uid="{76861BC9-AA9F-D34F-9418-D4DDFEA09CD1}"/>
    <hyperlink ref="M427:M428" r:id="rId90" display="https://doi.org/10.1016/j.margeo.2009.02.007" xr:uid="{6DB08A96-F4F3-EA48-8248-8D7A037EF7F0}"/>
    <hyperlink ref="M431:M432" r:id="rId91" display="https://doi.org/10.1016/j.margeo.2009.02.007" xr:uid="{F49C2121-7957-C64B-A5AE-D433D0A8A427}"/>
    <hyperlink ref="M435:M437" r:id="rId92" display="https://doi.org/10.1016/j.margeo.2009.02.007" xr:uid="{19DA8A09-CB27-F04C-BCFA-22D77FDB3774}"/>
    <hyperlink ref="M439:M441" r:id="rId93" display="https://doi.org/10.1016/j.margeo.2009.02.007" xr:uid="{D681FAF4-4C4C-BA4F-BE35-FD7E0F302034}"/>
    <hyperlink ref="M445:M450" r:id="rId94" display="https://doi.org/10.1016/j.margeo.2009.02.007" xr:uid="{51AF4D8E-4CA2-2A40-BE7A-6E675446E8C5}"/>
    <hyperlink ref="M467:M469" r:id="rId95" display="https://doi.org/10.1016/j.margeo.2009.02.007" xr:uid="{B107B3FD-DF7E-AF48-B748-DA7A3D195EE2}"/>
    <hyperlink ref="M472:M473" r:id="rId96" display="https://doi.org/10.1016/j.margeo.2009.02.007" xr:uid="{8E6B9B16-006E-784F-97D8-A576467B3AFC}"/>
    <hyperlink ref="M476" r:id="rId97" xr:uid="{A67277F2-12C7-F445-89C4-E3C209430A22}"/>
    <hyperlink ref="M487" r:id="rId98" xr:uid="{49866E07-18DA-684F-87D6-B9347C8CCC6E}"/>
    <hyperlink ref="M490:M491" r:id="rId99" display="https://doi.org/10.1016/j.margeo.2009.02.007" xr:uid="{9178A00B-42D5-4346-8DD4-AF76851E6A63}"/>
    <hyperlink ref="M494" r:id="rId100" xr:uid="{F395FC91-674C-074E-9171-71903D5246D0}"/>
    <hyperlink ref="M499:M507" r:id="rId101" display="https://doi.org/10.1016/j.margeo.2009.02.007" xr:uid="{46741F91-2732-5C4B-B919-0B06DABA43FF}"/>
    <hyperlink ref="M512:M515" r:id="rId102" display="https://doi.org/10.1016/j.margeo.2009.02.007" xr:uid="{CEAF09F4-6D88-D349-8B99-C0960BDA391C}"/>
    <hyperlink ref="M517:M519" r:id="rId103" display="https://doi.org/10.1016/j.margeo.2009.02.007" xr:uid="{B8AA4F32-369C-B34A-90D1-B1AE2B4CA885}"/>
    <hyperlink ref="M521:M533" r:id="rId104" display="https://doi.org/10.1016/j.margeo.2009.02.007" xr:uid="{57ACE765-DEF8-5340-B8A0-426841C7010E}"/>
    <hyperlink ref="M535:M537" r:id="rId105" display="https://doi.org/10.1016/j.margeo.2009.02.007" xr:uid="{5A48F77A-8EF3-A34D-9E66-51D3F117371D}"/>
    <hyperlink ref="M540" r:id="rId106" xr:uid="{3600A3DE-190E-0344-AF49-124AB0E9C5D0}"/>
    <hyperlink ref="M559:M573" r:id="rId107" display="https://doi.org/10.1016/j.margeo.2009.02.007" xr:uid="{B96B679F-2D16-6C4A-99CE-648291940C33}"/>
    <hyperlink ref="M456" r:id="rId108" xr:uid="{C085D407-9F3B-D348-A904-B4500D331972}"/>
    <hyperlink ref="M457:M466" r:id="rId109" display="https://doi.org/10.2973/odp.proc.sr.104.134.1989" xr:uid="{46A8876C-7A24-1444-BC26-0CC60AA69D4A}"/>
    <hyperlink ref="M470:M471" r:id="rId110" display="https://doi.org/10.2973/odp.proc.sr.104.134.1989" xr:uid="{809EEA65-7330-7046-A690-575612011541}"/>
    <hyperlink ref="M474:M475" r:id="rId111" display="https://doi.org/10.2973/odp.proc.sr.104.134.1989" xr:uid="{D28D88CB-E604-D842-928F-D09A00A57523}"/>
    <hyperlink ref="M477:M484" r:id="rId112" display="https://doi.org/10.2973/odp.proc.sr.104.134.1989" xr:uid="{420CB2D1-B420-0841-AAB9-ECD07313BF6E}"/>
    <hyperlink ref="M485:M486" r:id="rId113" display="https://doi.org/10.2973/odp.proc.sr.104.134.1989" xr:uid="{E5F99611-D2F5-8045-9252-154B0319965D}"/>
    <hyperlink ref="M488:M489" r:id="rId114" display="https://doi.org/10.2973/odp.proc.sr.104.134.1989" xr:uid="{9945D5A0-1540-334F-B23F-8217EE9667A1}"/>
    <hyperlink ref="M492:M493" r:id="rId115" display="https://doi.org/10.2973/odp.proc.sr.104.134.1989" xr:uid="{2CD3322A-146C-DA45-953E-88A109309E36}"/>
    <hyperlink ref="M495:M498" r:id="rId116" display="https://doi.org/10.2973/odp.proc.sr.104.134.1989" xr:uid="{B1D8D105-0BF1-0D48-ACAA-3F4961676811}"/>
    <hyperlink ref="M509:M511" r:id="rId117" display="https://doi.org/10.2973/odp.proc.sr.104.134.1989" xr:uid="{0729510C-AB6A-2045-94CF-DA36D5ECDB05}"/>
    <hyperlink ref="M516" r:id="rId118" xr:uid="{FB788EAC-D8D0-7B4E-B0B7-7AF758D10B26}"/>
    <hyperlink ref="M520" r:id="rId119" xr:uid="{312B28A6-A6A5-894D-8016-C5A63DE22C9D}"/>
    <hyperlink ref="M534" r:id="rId120" xr:uid="{BD7A5ABD-0576-4347-92F1-CF038325B939}"/>
    <hyperlink ref="M538:M539" r:id="rId121" display="https://doi.org/10.2973/odp.proc.sr.104.134.1989" xr:uid="{DD2F4A62-2DB1-6442-B6FC-0583CB70EE52}"/>
    <hyperlink ref="M575" r:id="rId122" xr:uid="{D0780C03-F90F-0940-9592-B8EBC29911B3}"/>
    <hyperlink ref="M576" r:id="rId123" xr:uid="{F0D080EA-0DDA-E643-8B07-2EDB347D6D51}"/>
    <hyperlink ref="M578" r:id="rId124" xr:uid="{3DEA313F-4570-9F48-93C5-27EEB7700160}"/>
    <hyperlink ref="M580:M582" r:id="rId125" display="https://doi.org/10.2973/dsdp.proc.38.110.1976" xr:uid="{49EBDD0D-27D6-B841-BEC3-74F8C66899EE}"/>
    <hyperlink ref="M584" r:id="rId126" xr:uid="{788F69BB-6614-4745-A7FA-BDAC95EA9E18}"/>
    <hyperlink ref="M587:M589" r:id="rId127" display="https://doi.org/10.2973/dsdp.proc.38.110.1976" xr:uid="{137DE735-53B2-AD4F-9115-30BEA43CA5DB}"/>
    <hyperlink ref="M591" r:id="rId128" xr:uid="{F3156105-9957-2849-9909-5A5DD549014E}"/>
    <hyperlink ref="M593" r:id="rId129" xr:uid="{5B8CB2DC-3591-6349-9201-89BAF01A1125}"/>
    <hyperlink ref="M595:M598" r:id="rId130" display="https://doi.org/10.2973/dsdp.proc.38.110.1976" xr:uid="{6C638E56-13FB-2344-8544-EC22AFB2EB2F}"/>
    <hyperlink ref="M600:M601" r:id="rId131" display="https://doi.org/10.2973/dsdp.proc.38.110.1976" xr:uid="{24025BAE-D27E-144A-8927-1B296A844FB5}"/>
    <hyperlink ref="M577" r:id="rId132" xr:uid="{8FCBD93B-BA6E-C14F-806C-6D571F6F211D}"/>
    <hyperlink ref="M579" r:id="rId133" xr:uid="{8CB1E824-5AB7-AB43-AC02-CC7F6100E066}"/>
    <hyperlink ref="M583" r:id="rId134" xr:uid="{A41CA4BE-C977-B244-BD62-72F93F557D95}"/>
    <hyperlink ref="M586" r:id="rId135" xr:uid="{51B17E88-1CDA-E74F-8358-A06B14D0B257}"/>
    <hyperlink ref="M590" r:id="rId136" xr:uid="{49DD503A-1AD0-C441-B7B2-D7095D13FFE4}"/>
    <hyperlink ref="M592" r:id="rId137" xr:uid="{C03E5060-FF2B-8C43-A346-2EC791CA6791}"/>
    <hyperlink ref="M599" r:id="rId138" xr:uid="{419AE49D-6140-8044-8E3C-E985423694B4}"/>
    <hyperlink ref="N577" r:id="rId139" xr:uid="{950E67C8-370F-BE4D-BD71-84F437BC533F}"/>
    <hyperlink ref="N579" r:id="rId140" xr:uid="{79B3316A-32D5-7D42-B22F-8430744CD29E}"/>
    <hyperlink ref="N583" r:id="rId141" xr:uid="{5C50E17F-006D-6445-8FDA-9803ECDB1956}"/>
    <hyperlink ref="N586" r:id="rId142" xr:uid="{0DC17B2B-20F4-1B43-A64E-0F5C719E76CF}"/>
    <hyperlink ref="N590" r:id="rId143" xr:uid="{1C5C57E1-E343-F740-8647-E15822732811}"/>
    <hyperlink ref="N592" r:id="rId144" xr:uid="{71380FFF-2CD2-DD4A-95DE-F7D2E297F762}"/>
    <hyperlink ref="N599" r:id="rId145" xr:uid="{806056DB-1771-6248-9B2F-5FA502BF38C6}"/>
  </hyperlinks>
  <pageMargins left="0.7" right="0.7" top="0.75" bottom="0.75" header="0.3" footer="0.3"/>
  <pageSetup paperSize="9" orientation="portrait" r:id="rId14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Tegner</dc:creator>
  <cp:lastModifiedBy>Kirsten Elger</cp:lastModifiedBy>
  <dcterms:created xsi:type="dcterms:W3CDTF">2025-05-21T12:15:39Z</dcterms:created>
  <dcterms:modified xsi:type="dcterms:W3CDTF">2026-03-05T10:17:47Z</dcterms:modified>
</cp:coreProperties>
</file>